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mc:AlternateContent xmlns:mc="http://schemas.openxmlformats.org/markup-compatibility/2006">
    <mc:Choice Requires="x15">
      <x15ac:absPath xmlns:x15ac="http://schemas.microsoft.com/office/spreadsheetml/2010/11/ac" url="/Users/mennovanloon/Dropbox/MOLO ACADEMY/Courses/Venture Capital Deal Terms Course/Supporting Materials/"/>
    </mc:Choice>
  </mc:AlternateContent>
  <xr:revisionPtr revIDLastSave="0" documentId="8_{9F077932-7397-594A-9374-872B968C8989}" xr6:coauthVersionLast="47" xr6:coauthVersionMax="47" xr10:uidLastSave="{00000000-0000-0000-0000-000000000000}"/>
  <bookViews>
    <workbookView xWindow="0" yWindow="500" windowWidth="29040" windowHeight="15720" tabRatio="660" xr2:uid="{00000000-000D-0000-FFFF-FFFF00000000}"/>
  </bookViews>
  <sheets>
    <sheet name="CAP TABLE" sheetId="13" r:id="rId1"/>
    <sheet name="SUMMARY" sheetId="15" r:id="rId2"/>
  </sheets>
  <calcPr calcId="191028" calcMode="autoNoTable" iterate="1"/>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16" i="13" l="1"/>
  <c r="P15" i="13"/>
  <c r="B2" i="15"/>
  <c r="E27" i="15"/>
  <c r="D27" i="15"/>
  <c r="D25" i="15"/>
  <c r="M6" i="15"/>
  <c r="O27" i="15"/>
  <c r="N27" i="15"/>
  <c r="P26" i="15"/>
  <c r="O26" i="15"/>
  <c r="N26" i="15"/>
  <c r="M26" i="15"/>
  <c r="O25" i="15"/>
  <c r="N25" i="15"/>
  <c r="P24" i="15"/>
  <c r="O24" i="15"/>
  <c r="N24" i="15"/>
  <c r="M24" i="15"/>
  <c r="P13" i="15"/>
  <c r="O13" i="15"/>
  <c r="N13" i="15"/>
  <c r="M13" i="15"/>
  <c r="M5" i="15"/>
  <c r="M4" i="15"/>
  <c r="N3" i="15"/>
  <c r="M3" i="15"/>
  <c r="J27" i="15"/>
  <c r="I27" i="15"/>
  <c r="K26" i="15"/>
  <c r="J26" i="15"/>
  <c r="I26" i="15"/>
  <c r="H26" i="15"/>
  <c r="J25" i="15"/>
  <c r="I25" i="15"/>
  <c r="K24" i="15"/>
  <c r="J24" i="15"/>
  <c r="I24" i="15"/>
  <c r="H24" i="15"/>
  <c r="K13" i="15"/>
  <c r="J13" i="15"/>
  <c r="I13" i="15"/>
  <c r="H13" i="15"/>
  <c r="H5" i="15"/>
  <c r="H4" i="15"/>
  <c r="I3" i="15"/>
  <c r="H3" i="15"/>
  <c r="D22" i="15"/>
  <c r="D21" i="15"/>
  <c r="D20" i="15"/>
  <c r="D19" i="15"/>
  <c r="D18" i="15"/>
  <c r="D17" i="15"/>
  <c r="D16" i="15"/>
  <c r="D15" i="15"/>
  <c r="D14" i="15"/>
  <c r="B25" i="15"/>
  <c r="D12" i="15"/>
  <c r="B17" i="15"/>
  <c r="B16" i="15"/>
  <c r="B15" i="15"/>
  <c r="B14" i="15"/>
  <c r="Z15" i="13"/>
  <c r="Z22" i="13"/>
  <c r="Z21" i="13"/>
  <c r="Z20" i="13"/>
  <c r="Z19" i="13"/>
  <c r="Z18" i="13"/>
  <c r="Z17" i="13"/>
  <c r="Z14" i="13"/>
  <c r="K22" i="13"/>
  <c r="K21" i="13"/>
  <c r="K20" i="13"/>
  <c r="K19" i="13"/>
  <c r="K15" i="13"/>
  <c r="K14" i="13"/>
  <c r="K33" i="13" l="1"/>
  <c r="O32" i="13" l="1"/>
  <c r="O31" i="13"/>
  <c r="O33" i="13" l="1"/>
  <c r="Z33" i="13" l="1"/>
  <c r="AC23" i="13"/>
  <c r="N23" i="13"/>
  <c r="O5" i="13" s="1"/>
  <c r="I4" i="15" s="1"/>
  <c r="F23" i="13"/>
  <c r="E23" i="13"/>
  <c r="D23" i="15" s="1"/>
  <c r="P22" i="13"/>
  <c r="AE22" i="13" s="1"/>
  <c r="P21" i="13"/>
  <c r="P20" i="13"/>
  <c r="AE20" i="13" s="1"/>
  <c r="P19" i="13"/>
  <c r="P18" i="13"/>
  <c r="AE18" i="13" s="1"/>
  <c r="P17" i="13"/>
  <c r="AE15" i="13"/>
  <c r="P14" i="13"/>
  <c r="AB13" i="13"/>
  <c r="M13" i="13"/>
  <c r="AC12" i="13"/>
  <c r="M12" i="15" s="1"/>
  <c r="N12" i="13"/>
  <c r="H12" i="15" s="1"/>
  <c r="AD6" i="13" l="1"/>
  <c r="N5" i="15" s="1"/>
  <c r="AD5" i="13"/>
  <c r="N4" i="15" s="1"/>
  <c r="G19" i="13"/>
  <c r="E19" i="15" s="1"/>
  <c r="G21" i="13"/>
  <c r="E21" i="15" s="1"/>
  <c r="G17" i="13"/>
  <c r="E17" i="15" s="1"/>
  <c r="G20" i="13"/>
  <c r="E20" i="15" s="1"/>
  <c r="F27" i="13"/>
  <c r="G15" i="13"/>
  <c r="E15" i="15" s="1"/>
  <c r="G14" i="13"/>
  <c r="E14" i="15" s="1"/>
  <c r="G25" i="13"/>
  <c r="E25" i="15" s="1"/>
  <c r="G22" i="13"/>
  <c r="E22" i="15" s="1"/>
  <c r="G16" i="13"/>
  <c r="E16" i="15" s="1"/>
  <c r="G18" i="13"/>
  <c r="E18" i="15" s="1"/>
  <c r="O6" i="13"/>
  <c r="I5" i="15" s="1"/>
  <c r="AD31" i="13"/>
  <c r="AD32" i="13"/>
  <c r="AG32" i="13" s="1"/>
  <c r="AE14" i="13"/>
  <c r="AE17" i="13"/>
  <c r="AE19" i="13"/>
  <c r="AE21" i="13"/>
  <c r="H25" i="13" l="1"/>
  <c r="F25" i="15" s="1"/>
  <c r="AD33" i="13"/>
  <c r="G23" i="13"/>
  <c r="E23" i="15" s="1"/>
  <c r="H14" i="13"/>
  <c r="F14" i="15" s="1"/>
  <c r="H22" i="13"/>
  <c r="F22" i="15" s="1"/>
  <c r="H18" i="13"/>
  <c r="F18" i="15" s="1"/>
  <c r="H16" i="13"/>
  <c r="F16" i="15" s="1"/>
  <c r="H21" i="13"/>
  <c r="F21" i="15" s="1"/>
  <c r="H19" i="13"/>
  <c r="F19" i="15" s="1"/>
  <c r="H17" i="13"/>
  <c r="F17" i="15" s="1"/>
  <c r="H20" i="13"/>
  <c r="F20" i="15" s="1"/>
  <c r="H15" i="13"/>
  <c r="F15" i="15" s="1"/>
  <c r="H23" i="13" l="1"/>
  <c r="H27" i="13" l="1"/>
  <c r="F27" i="15" s="1"/>
  <c r="F23" i="15"/>
  <c r="L14" i="13"/>
  <c r="L15" i="13"/>
  <c r="L19" i="13"/>
  <c r="L20" i="13"/>
  <c r="L21" i="13"/>
  <c r="L22" i="13"/>
  <c r="L16" i="13"/>
  <c r="L17" i="13"/>
  <c r="L18" i="13"/>
  <c r="K23" i="13"/>
  <c r="L23" i="13" l="1"/>
  <c r="L27" i="13" s="1"/>
  <c r="M18" i="13" s="1"/>
  <c r="M15" i="13" l="1"/>
  <c r="M16" i="13"/>
  <c r="M25" i="13"/>
  <c r="M22" i="13"/>
  <c r="M14" i="13"/>
  <c r="M17" i="13"/>
  <c r="M20" i="13"/>
  <c r="M19" i="13"/>
  <c r="M21" i="13"/>
  <c r="M23" i="13" l="1"/>
  <c r="M27" i="13" s="1"/>
  <c r="Z16" i="13"/>
  <c r="Z23" i="13" s="1"/>
  <c r="R16" i="13" l="1"/>
  <c r="T31" i="13"/>
  <c r="U31" i="13" s="1"/>
  <c r="T32" i="13"/>
  <c r="U32" i="13" s="1"/>
  <c r="U33" i="13" l="1"/>
  <c r="I16" i="15" l="1"/>
  <c r="AJ31" i="13" l="1"/>
  <c r="AJ33" i="13" s="1"/>
  <c r="Q3" i="13" l="1"/>
  <c r="J17" i="13" l="1"/>
  <c r="P16" i="13"/>
  <c r="J22" i="13"/>
  <c r="J19" i="13"/>
  <c r="J21" i="13"/>
  <c r="J20" i="13"/>
  <c r="R15" i="13"/>
  <c r="J14" i="13"/>
  <c r="I6" i="15"/>
  <c r="J15" i="13"/>
  <c r="R17" i="13"/>
  <c r="R22" i="13"/>
  <c r="R21" i="13"/>
  <c r="R20" i="13"/>
  <c r="R19" i="13"/>
  <c r="R18" i="13"/>
  <c r="O18" i="13"/>
  <c r="T20" i="13" l="1"/>
  <c r="R14" i="13"/>
  <c r="J23" i="13"/>
  <c r="T15" i="13"/>
  <c r="T22" i="13"/>
  <c r="T19" i="13"/>
  <c r="T21" i="13"/>
  <c r="T17" i="13"/>
  <c r="O19" i="13"/>
  <c r="O14" i="13"/>
  <c r="O20" i="13"/>
  <c r="O15" i="13"/>
  <c r="O21" i="13"/>
  <c r="P23" i="13"/>
  <c r="AE16" i="13"/>
  <c r="T16" i="13"/>
  <c r="O22" i="13"/>
  <c r="O17" i="13"/>
  <c r="T18" i="13"/>
  <c r="H17" i="15" l="1"/>
  <c r="AA17" i="13"/>
  <c r="H21" i="15"/>
  <c r="AA21" i="13"/>
  <c r="AA18" i="13"/>
  <c r="H18" i="15"/>
  <c r="AA15" i="13"/>
  <c r="H15" i="15"/>
  <c r="AA16" i="13"/>
  <c r="H16" i="15"/>
  <c r="AE23" i="13"/>
  <c r="R23" i="13"/>
  <c r="T14" i="13"/>
  <c r="H20" i="15"/>
  <c r="AA20" i="13"/>
  <c r="H19" i="15"/>
  <c r="AA19" i="13"/>
  <c r="AA22" i="13"/>
  <c r="H22" i="15"/>
  <c r="T23" i="13" l="1"/>
  <c r="V14" i="13" s="1"/>
  <c r="AA14" i="13"/>
  <c r="H14" i="15"/>
  <c r="U17" i="13"/>
  <c r="I17" i="15" s="1"/>
  <c r="U18" i="13"/>
  <c r="I18" i="15" s="1"/>
  <c r="U19" i="13"/>
  <c r="I19" i="15" s="1"/>
  <c r="U20" i="13"/>
  <c r="I20" i="15" s="1"/>
  <c r="U21" i="13"/>
  <c r="I21" i="15" s="1"/>
  <c r="U22" i="13"/>
  <c r="I22" i="15" s="1"/>
  <c r="U14" i="13"/>
  <c r="U15" i="13"/>
  <c r="I15" i="15" s="1"/>
  <c r="AA23" i="13" l="1"/>
  <c r="J14" i="15"/>
  <c r="H23" i="15"/>
  <c r="V20" i="13"/>
  <c r="J20" i="15" s="1"/>
  <c r="V17" i="13"/>
  <c r="J17" i="15" s="1"/>
  <c r="V21" i="13"/>
  <c r="J21" i="15" s="1"/>
  <c r="V15" i="13"/>
  <c r="J15" i="15" s="1"/>
  <c r="V19" i="13"/>
  <c r="J19" i="15" s="1"/>
  <c r="V22" i="13"/>
  <c r="J22" i="15" s="1"/>
  <c r="V18" i="13"/>
  <c r="J18" i="15" s="1"/>
  <c r="V16" i="13"/>
  <c r="J16" i="15" s="1"/>
  <c r="I14" i="15"/>
  <c r="U23" i="13"/>
  <c r="I23" i="15" s="1"/>
  <c r="V23" i="13" l="1"/>
  <c r="J23" i="15" s="1"/>
  <c r="AD14" i="13"/>
  <c r="AD15" i="13"/>
  <c r="AD16" i="13"/>
  <c r="AD17" i="13"/>
  <c r="AD18" i="13"/>
  <c r="AD19" i="13"/>
  <c r="AD20" i="13"/>
  <c r="AD21" i="13"/>
  <c r="AD22" i="13"/>
  <c r="AD23" i="13" l="1"/>
  <c r="AF3" i="13"/>
  <c r="W14" i="13"/>
  <c r="Y14" i="13"/>
  <c r="AB14" i="13"/>
  <c r="AG14" i="13"/>
  <c r="AH14" i="13"/>
  <c r="AJ14" i="13"/>
  <c r="AK14" i="13"/>
  <c r="AL14" i="13"/>
  <c r="AM14" i="13"/>
  <c r="W15" i="13"/>
  <c r="Y15" i="13"/>
  <c r="AB15" i="13"/>
  <c r="AG15" i="13"/>
  <c r="AH15" i="13"/>
  <c r="AJ15" i="13"/>
  <c r="AK15" i="13"/>
  <c r="AL15" i="13"/>
  <c r="AM15" i="13"/>
  <c r="W16" i="13"/>
  <c r="Y16" i="13"/>
  <c r="AB16" i="13"/>
  <c r="AG16" i="13"/>
  <c r="AH16" i="13"/>
  <c r="AJ16" i="13"/>
  <c r="AK16" i="13"/>
  <c r="AL16" i="13"/>
  <c r="AM16" i="13"/>
  <c r="W17" i="13"/>
  <c r="Y17" i="13"/>
  <c r="AB17" i="13"/>
  <c r="AG17" i="13"/>
  <c r="AH17" i="13"/>
  <c r="AJ17" i="13"/>
  <c r="AK17" i="13"/>
  <c r="AL17" i="13"/>
  <c r="AM17" i="13"/>
  <c r="W18" i="13"/>
  <c r="Y18" i="13"/>
  <c r="AB18" i="13"/>
  <c r="AG18" i="13"/>
  <c r="AH18" i="13"/>
  <c r="AJ18" i="13"/>
  <c r="AK18" i="13"/>
  <c r="AL18" i="13"/>
  <c r="AM18" i="13"/>
  <c r="W19" i="13"/>
  <c r="Y19" i="13"/>
  <c r="AB19" i="13"/>
  <c r="AG19" i="13"/>
  <c r="AH19" i="13"/>
  <c r="AJ19" i="13"/>
  <c r="AK19" i="13"/>
  <c r="AL19" i="13"/>
  <c r="AM19" i="13"/>
  <c r="W20" i="13"/>
  <c r="Y20" i="13"/>
  <c r="AB20" i="13"/>
  <c r="AG20" i="13"/>
  <c r="AH20" i="13"/>
  <c r="AJ20" i="13"/>
  <c r="AK20" i="13"/>
  <c r="AL20" i="13"/>
  <c r="AM20" i="13"/>
  <c r="W21" i="13"/>
  <c r="Y21" i="13"/>
  <c r="AB21" i="13"/>
  <c r="AG21" i="13"/>
  <c r="AH21" i="13"/>
  <c r="AJ21" i="13"/>
  <c r="AK21" i="13"/>
  <c r="AL21" i="13"/>
  <c r="AM21" i="13"/>
  <c r="W22" i="13"/>
  <c r="Y22" i="13"/>
  <c r="AB22" i="13"/>
  <c r="AG22" i="13"/>
  <c r="AH22" i="13"/>
  <c r="AJ22" i="13"/>
  <c r="AK22" i="13"/>
  <c r="AL22" i="13"/>
  <c r="AM22" i="13"/>
  <c r="W23" i="13"/>
  <c r="Y23" i="13"/>
  <c r="AB23" i="13"/>
  <c r="AG23" i="13"/>
  <c r="AH23" i="13"/>
  <c r="AJ23" i="13"/>
  <c r="AK23" i="13"/>
  <c r="AL23" i="13"/>
  <c r="AM23" i="13"/>
  <c r="S25" i="13"/>
  <c r="T25" i="13"/>
  <c r="W25" i="13"/>
  <c r="AA25" i="13"/>
  <c r="AB25" i="13"/>
  <c r="AI25" i="13"/>
  <c r="AJ25" i="13"/>
  <c r="AM25" i="13"/>
  <c r="S27" i="13"/>
  <c r="T27" i="13"/>
  <c r="W27" i="13"/>
  <c r="AA27" i="13"/>
  <c r="AB27" i="13"/>
  <c r="AJ27" i="13"/>
  <c r="AM27" i="13"/>
  <c r="N6" i="15"/>
  <c r="K14" i="15"/>
  <c r="M14" i="15"/>
  <c r="N14" i="15"/>
  <c r="O14" i="15"/>
  <c r="P14" i="15"/>
  <c r="K15" i="15"/>
  <c r="M15" i="15"/>
  <c r="N15" i="15"/>
  <c r="O15" i="15"/>
  <c r="P15" i="15"/>
  <c r="K16" i="15"/>
  <c r="M16" i="15"/>
  <c r="N16" i="15"/>
  <c r="O16" i="15"/>
  <c r="P16" i="15"/>
  <c r="K17" i="15"/>
  <c r="M17" i="15"/>
  <c r="N17" i="15"/>
  <c r="O17" i="15"/>
  <c r="P17" i="15"/>
  <c r="K18" i="15"/>
  <c r="M18" i="15"/>
  <c r="N18" i="15"/>
  <c r="O18" i="15"/>
  <c r="P18" i="15"/>
  <c r="K19" i="15"/>
  <c r="M19" i="15"/>
  <c r="N19" i="15"/>
  <c r="O19" i="15"/>
  <c r="P19" i="15"/>
  <c r="K20" i="15"/>
  <c r="M20" i="15"/>
  <c r="N20" i="15"/>
  <c r="O20" i="15"/>
  <c r="P20" i="15"/>
  <c r="K21" i="15"/>
  <c r="M21" i="15"/>
  <c r="N21" i="15"/>
  <c r="O21" i="15"/>
  <c r="P21" i="15"/>
  <c r="K22" i="15"/>
  <c r="M22" i="15"/>
  <c r="N22" i="15"/>
  <c r="O22" i="15"/>
  <c r="P22" i="15"/>
  <c r="K23" i="15"/>
  <c r="M23" i="15"/>
  <c r="N23" i="15"/>
  <c r="O23" i="15"/>
  <c r="P23" i="15"/>
  <c r="H25" i="15"/>
  <c r="K25" i="15"/>
  <c r="M25" i="15"/>
  <c r="P25" i="15"/>
  <c r="H27" i="15"/>
  <c r="K27" i="15"/>
  <c r="M27" i="15"/>
  <c r="P2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Segers, R.C. (Rolph)</author>
    <author>Sjoerd Mol</author>
  </authors>
  <commentList>
    <comment ref="S2" authorId="0" shapeId="0" xr:uid="{7D98278D-44F8-4700-8678-EF0FF6EADDCE}">
      <text>
        <r>
          <rPr>
            <sz val="9"/>
            <color indexed="81"/>
            <rFont val="Tahoma"/>
            <family val="2"/>
          </rPr>
          <t>The investor (and the company) wants the Option Pool to have a certain size post-investment (usually 10 to  15%). 
Depending on the negotiations, the new Options are created BEFORE the investment takes place or AFTER the investment takes place. 
BEFORE: this means it goes at cost of the current shareholders. If that's the case, then you should put this on PRE.
AFTER: this means it goes at cost of current shareholders AND the investors. If that's the case, then you should put this on POST.
In the New Wave Energy case study, the Options are created after investment (post-money).</t>
        </r>
      </text>
    </comment>
    <comment ref="N3" authorId="0" shapeId="0" xr:uid="{2FAE6415-77F6-4BEE-9BDF-0833FC0B45A9}">
      <text>
        <r>
          <rPr>
            <sz val="9"/>
            <color indexed="81"/>
            <rFont val="Tahoma"/>
            <family val="2"/>
          </rPr>
          <t xml:space="preserve">This is the company valuation at which the new investor wishes to invest. In the New Wave Energy case study this is 2.5 million.
</t>
        </r>
      </text>
    </comment>
    <comment ref="P3" authorId="0" shapeId="0" xr:uid="{56B284C5-8337-4723-B734-7271FC8E327F}">
      <text>
        <r>
          <rPr>
            <sz val="9"/>
            <color indexed="81"/>
            <rFont val="Tahoma"/>
            <family val="2"/>
          </rPr>
          <t>Share price calculated by dividing the Pre-Money Valuation by the total 'fully dilusted' shares prior to the Round
If any CLAs have been issued prior to the Seed Round - which is not the case in the New Wave Energy financing - the investor usually assumes that conversion of these CLAs have taken place prior to the round. To effectuate this, the new Shares which will be issued to the CLA Lenders as a result of conversion are included in the calculation of the Price per Share</t>
        </r>
      </text>
    </comment>
    <comment ref="N5" authorId="0" shapeId="0" xr:uid="{75165F42-C38E-420C-847D-A505D5C6EEED}">
      <text>
        <r>
          <rPr>
            <sz val="9"/>
            <color indexed="81"/>
            <rFont val="Tahoma"/>
            <family val="2"/>
          </rPr>
          <t>Total NEW capital invested in the company. In the New Wave Energy case study this is 1.5 million in the Seed Round</t>
        </r>
      </text>
    </comment>
    <comment ref="N6" authorId="0" shapeId="0" xr:uid="{1B7FDEE9-98F5-42A4-AC2D-033B8BABBDCB}">
      <text>
        <r>
          <rPr>
            <sz val="9"/>
            <color indexed="81"/>
            <rFont val="Tahoma"/>
            <family val="2"/>
          </rPr>
          <t>Pre-Money + Investment</t>
        </r>
      </text>
    </comment>
    <comment ref="S6" authorId="0" shapeId="0" xr:uid="{F0E52F42-38DA-42F9-8689-02BFFA81FB7F}">
      <text>
        <r>
          <rPr>
            <sz val="9"/>
            <color indexed="81"/>
            <rFont val="Tahoma"/>
            <family val="2"/>
          </rPr>
          <t>Depending on local custom, professionals may prefer a 2 digit rounded share price in stead of a share price with many (or endless) decimal places.
Rounding it canhave a small impact on the actual number of Shares issued.</t>
        </r>
      </text>
    </comment>
    <comment ref="S9" authorId="0" shapeId="0" xr:uid="{CEE04AC5-D278-4B06-96B6-C59CED33DB15}">
      <text>
        <r>
          <rPr>
            <sz val="9"/>
            <color indexed="81"/>
            <rFont val="Tahoma"/>
            <family val="2"/>
          </rPr>
          <t xml:space="preserve">A matter of preference. Since the number of Shares will be rounded (you cannot issue half a Share), the actual disbursement may deviate slightly from the agreed investment amount.
Some investors want the disbursement to be the exact same amount as the agreed investment. Settng this to YES forces the disbursement to be equal to the agreed investment. </t>
        </r>
      </text>
    </comment>
    <comment ref="N10" authorId="0" shapeId="0" xr:uid="{2AC5F85D-AD37-4BF3-AF30-57DFE31695C0}">
      <text>
        <r>
          <rPr>
            <sz val="9"/>
            <color indexed="81"/>
            <rFont val="Tahoma"/>
            <family val="2"/>
          </rPr>
          <t>Here you can enter the % you want the Option pool to be post-closing. 
The sheet will calculate how many (additional) Oiptions needs to be granted and fill this in.</t>
        </r>
      </text>
    </comment>
    <comment ref="O10" authorId="1" shapeId="0" xr:uid="{74D8DD32-0E79-49AA-8D76-77CF4073F60B}">
      <text>
        <r>
          <rPr>
            <sz val="9"/>
            <color indexed="81"/>
            <rFont val="Tahoma"/>
            <charset val="1"/>
          </rPr>
          <t xml:space="preserve">Since in the New Wave Energy case the ESOP pool has been rounded on 178,000 Options, the exact percentage has been filled in to make sure the outcome results in 178,000 Shares. The exact percentage equals 10.01124859%, but you can amded if desired. 
</t>
        </r>
      </text>
    </comment>
    <comment ref="F13" authorId="0" shapeId="0" xr:uid="{4D02B551-BB5A-4242-A03C-509FA8688AD1}">
      <text>
        <r>
          <rPr>
            <sz val="9"/>
            <color indexed="81"/>
            <rFont val="Tahoma"/>
            <family val="2"/>
          </rPr>
          <t xml:space="preserve">Options granted to employees to keep them incentivized to remain with the company. Other incentive mechanisms can be used in stead. As long as options are not exercised they do not have voting rights.
</t>
        </r>
      </text>
    </comment>
    <comment ref="G13" authorId="0" shapeId="0" xr:uid="{C64D91CB-BE4D-4638-A3A6-6EBAF9662525}">
      <text>
        <r>
          <rPr>
            <sz val="9"/>
            <color indexed="81"/>
            <rFont val="Tahoma"/>
            <family val="2"/>
          </rPr>
          <t xml:space="preserve">This refers to voting shares only , so not including the ESOP </t>
        </r>
      </text>
    </comment>
    <comment ref="H13" authorId="0" shapeId="0" xr:uid="{1047D3DE-F067-46D7-85C7-1C1E26D398CB}">
      <text>
        <r>
          <rPr>
            <sz val="9"/>
            <color rgb="FF000000"/>
            <rFont val="Tahoma"/>
            <family val="2"/>
          </rPr>
          <t>This refers to all Shares ( voting or non-voting) and other share equivalents such as Options</t>
        </r>
      </text>
    </comment>
    <comment ref="O13" authorId="0" shapeId="0" xr:uid="{D1BC4EA0-C9DC-4ED3-924D-90489E9BEF8B}">
      <text>
        <r>
          <rPr>
            <sz val="9"/>
            <color indexed="81"/>
            <rFont val="Tahoma"/>
            <family val="2"/>
          </rPr>
          <t xml:space="preserve">The amount of money that is actually tranferred by the investor (can differ from the initial investment due to rounding of the number of Shares issued to the investor). In one of the boxes above you can opt for Rounding of the Disbursement (or not).
</t>
        </r>
      </text>
    </comment>
    <comment ref="W13" authorId="0" shapeId="0" xr:uid="{5E0E631D-A039-40C4-A1F1-B052245E8E89}">
      <text>
        <r>
          <rPr>
            <sz val="9"/>
            <color indexed="81"/>
            <rFont val="Tahoma"/>
            <family val="2"/>
          </rPr>
          <t>%Fully Diluted, so including the ESOP</t>
        </r>
      </text>
    </comment>
    <comment ref="B23" authorId="0" shapeId="0" xr:uid="{C5AE9676-932D-4D71-A837-9B5144E289B9}">
      <text>
        <r>
          <rPr>
            <sz val="9"/>
            <color indexed="81"/>
            <rFont val="Tahoma"/>
            <family val="2"/>
          </rPr>
          <t>The total of the column above</t>
        </r>
      </text>
    </comment>
    <comment ref="B27" authorId="0" shapeId="0" xr:uid="{0CB6445C-9F54-48EA-963A-46203BF4A974}">
      <text>
        <r>
          <rPr>
            <sz val="9"/>
            <color indexed="81"/>
            <rFont val="Tahoma"/>
            <family val="2"/>
          </rPr>
          <t xml:space="preserve">The total of all shares INCLUDING the Option Pool
</t>
        </r>
      </text>
    </comment>
    <comment ref="J29" authorId="0" shapeId="0" xr:uid="{2ACE0E30-265E-43D1-8166-E4C96D17B1BA}">
      <text>
        <r>
          <rPr>
            <sz val="9"/>
            <color indexed="81"/>
            <rFont val="Tahoma"/>
            <family val="2"/>
          </rPr>
          <t>Convertible Loan Agreement, aka: Convertible Notes. In the New Wave Energy case study no CLAs have been issued prior to the Seed Round. In other financings, this might be the case. You can then include the CLA amount, interest rate and other specifics in this box
SAFEs can also be listed there, just set the interest to 0%
If no CLAs or SAFEs have been issued, you can remove this part at the very left side of the sheet by clicking on " -"</t>
        </r>
      </text>
    </comment>
    <comment ref="O30" authorId="0" shapeId="0" xr:uid="{5AA9F16A-C47D-4CA1-85A5-53221F9E9ED2}">
      <text>
        <r>
          <rPr>
            <sz val="9"/>
            <color indexed="81"/>
            <rFont val="Tahoma"/>
            <family val="2"/>
          </rPr>
          <t xml:space="preserve">The interest is calculated as follows:
1. #Days is days between Interest Date and Conversion Date 
2. IF no conversion date is given, 'TODAY' is used (that is the date of today). 
3. interest = CLA_Amount  *  (1+interest%)^(#Days/365)
</t>
        </r>
      </text>
    </comment>
  </commentList>
</comments>
</file>

<file path=xl/sharedStrings.xml><?xml version="1.0" encoding="utf-8"?>
<sst xmlns="http://schemas.openxmlformats.org/spreadsheetml/2006/main" count="116" uniqueCount="65">
  <si>
    <t>INCORPORATION</t>
  </si>
  <si>
    <t>SEED ROUND</t>
  </si>
  <si>
    <t>SERIES A ROUND</t>
  </si>
  <si>
    <t>Price</t>
  </si>
  <si>
    <t xml:space="preserve">Option pool top-up in the pre- or post-money?: </t>
  </si>
  <si>
    <t>Pre-Money</t>
  </si>
  <si>
    <t>Share</t>
  </si>
  <si>
    <t>Post</t>
  </si>
  <si>
    <t>Investment</t>
  </si>
  <si>
    <t>In order to properly use this sheet you need to enable iterative calculations. 
File -&gt; Options -&gt; Formula -&gt; calculation options -&gt; check 'enable iterative calculation'</t>
  </si>
  <si>
    <t>Post-Money</t>
  </si>
  <si>
    <t>Round Share price?:</t>
  </si>
  <si>
    <t>YES</t>
  </si>
  <si>
    <t>Round Disbursement?:</t>
  </si>
  <si>
    <t>Round Discbursement?:</t>
  </si>
  <si>
    <t>Option pool post-closing</t>
  </si>
  <si>
    <t>Option pool%</t>
  </si>
  <si>
    <t>CLA conversion</t>
  </si>
  <si>
    <t>Seed</t>
  </si>
  <si>
    <t>Total</t>
  </si>
  <si>
    <t>New/Issued</t>
  </si>
  <si>
    <t>Series A</t>
  </si>
  <si>
    <t>Name</t>
  </si>
  <si>
    <t>Ordinary</t>
  </si>
  <si>
    <t>Options</t>
  </si>
  <si>
    <t>% holding</t>
  </si>
  <si>
    <t>% Fully Diluted</t>
  </si>
  <si>
    <t>Conv. Value</t>
  </si>
  <si>
    <t>Preferred</t>
  </si>
  <si>
    <t>Total Shares</t>
  </si>
  <si>
    <t>Disbursement</t>
  </si>
  <si>
    <t>% Pref.</t>
  </si>
  <si>
    <t>% Holding</t>
  </si>
  <si>
    <t>% FD</t>
  </si>
  <si>
    <t>Bill Pear</t>
  </si>
  <si>
    <t>Peter Singh</t>
  </si>
  <si>
    <t>VC 1</t>
  </si>
  <si>
    <t>VC 2</t>
  </si>
  <si>
    <t>Total Holding</t>
  </si>
  <si>
    <t>Total Fully Diluted</t>
  </si>
  <si>
    <t>CLAs</t>
  </si>
  <si>
    <t>Conversion Date:</t>
  </si>
  <si>
    <t>Lender</t>
  </si>
  <si>
    <t>Amount</t>
  </si>
  <si>
    <t>Interest</t>
  </si>
  <si>
    <t>Interest Date</t>
  </si>
  <si>
    <t>Conv. date</t>
  </si>
  <si>
    <t>Amount+Interest</t>
  </si>
  <si>
    <t>Discount</t>
  </si>
  <si>
    <t>Valuation cap</t>
  </si>
  <si>
    <t>Discount Price</t>
  </si>
  <si>
    <t>Cap Price</t>
  </si>
  <si>
    <t>Conv. Price</t>
  </si>
  <si>
    <t>Conv. Shares</t>
  </si>
  <si>
    <t>Share Price</t>
  </si>
  <si>
    <t>Shares</t>
  </si>
  <si>
    <t>CAP TABLE                 NEW WAVE ENERGY</t>
  </si>
  <si>
    <t>Common</t>
  </si>
  <si>
    <t>Interest rate</t>
  </si>
  <si>
    <t>Common Shares</t>
  </si>
  <si>
    <t xml:space="preserve">Option pool in the pre- or post-money?: </t>
  </si>
  <si>
    <t>COLOR CODING</t>
  </si>
  <si>
    <t>Option Pool</t>
  </si>
  <si>
    <t>Calculated. Change at own risk!</t>
  </si>
  <si>
    <t>Manually entered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</si>
</sst>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_);[Red]\(&quot;€&quot;\ #,##0\)"/>
    <numFmt numFmtId="8" formatCode="&quot;€&quot;\ #,##0.00_);[Red]\(&quot;€&quot;\ #,##0.00\)"/>
    <numFmt numFmtId="44" formatCode="_(&quot;€&quot;\ * #,##0.00_);_(&quot;€&quot;\ * \(#,##0.00\);_(&quot;€&quot;\ * &quot;-&quot;??_);_(@_)"/>
    <numFmt numFmtId="43" formatCode="_(* #,##0.00_);_(* \(#,##0.00\);_(* &quot;-&quot;??_);_(@_)"/>
    <numFmt numFmtId="164" formatCode="_(&quot;€&quot;* #,##0.00_);_(&quot;€&quot;* \(#,##0.00\);_(&quot;€&quot;* &quot;-&quot;??_);_(@_)"/>
    <numFmt numFmtId="165" formatCode="0.0%"/>
    <numFmt numFmtId="166" formatCode="_(* #,##0_);_(* \(#,##0\);_(* &quot;-&quot;??_);_(@_)"/>
    <numFmt numFmtId="167" formatCode="_(&quot;€&quot;\ * #,##0_);_(&quot;€&quot;\ * \(#,##0\);_(&quot;€&quot;\ * &quot;-&quot;??_);_(@_)"/>
    <numFmt numFmtId="168" formatCode="#,##0.0%;\-#,000.0%;&quot;-&quot;"/>
    <numFmt numFmtId="169" formatCode="&quot;€&quot;\ #,##0.00;[Red]&quot;€&quot;\ #,##0.00"/>
    <numFmt numFmtId="170" formatCode="_(&quot;€&quot;\ * #,##0.0000_);_(&quot;€&quot;\ * \(#,##0.0000\);_(&quot;€&quot;\ * &quot;-&quot;??_);_(@_)"/>
    <numFmt numFmtId="171" formatCode="#,##0%;\-#,000%;&quot;-&quot;"/>
    <numFmt numFmtId="172" formatCode="_ * #,##0.0\x_ ;_ * \-#,##0.0_ ;_ * &quot;-&quot;??_ ;_ @_ "/>
    <numFmt numFmtId="173" formatCode="0.000"/>
  </numFmts>
  <fonts count="21"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0"/>
      <color theme="1"/>
      <name val="Arial"/>
      <family val="2"/>
    </font>
    <font>
      <b/>
      <sz val="12"/>
      <color theme="1"/>
      <name val="Calibri"/>
      <family val="2"/>
      <scheme val="minor"/>
    </font>
    <font>
      <sz val="12"/>
      <color indexed="8"/>
      <name val="Calibri"/>
      <family val="2"/>
      <scheme val="minor"/>
    </font>
    <font>
      <sz val="12"/>
      <color rgb="FF4F81BD"/>
      <name val="Calibri"/>
      <family val="2"/>
      <scheme val="minor"/>
    </font>
    <font>
      <sz val="12"/>
      <name val="Calibri"/>
      <family val="2"/>
      <scheme val="minor"/>
    </font>
    <font>
      <sz val="12"/>
      <color theme="4"/>
      <name val="Calibri"/>
      <family val="2"/>
      <scheme val="minor"/>
    </font>
    <font>
      <b/>
      <sz val="12"/>
      <color rgb="FFFF0000"/>
      <name val="Calibri"/>
      <family val="2"/>
      <scheme val="minor"/>
    </font>
    <font>
      <sz val="12"/>
      <color theme="0"/>
      <name val="Calibri"/>
      <family val="2"/>
      <scheme val="minor"/>
    </font>
    <font>
      <b/>
      <sz val="12"/>
      <color theme="0"/>
      <name val="Calibri"/>
      <family val="2"/>
      <scheme val="minor"/>
    </font>
    <font>
      <b/>
      <sz val="20"/>
      <color theme="1"/>
      <name val="Calibri"/>
      <family val="2"/>
      <scheme val="minor"/>
    </font>
    <font>
      <sz val="9"/>
      <color indexed="81"/>
      <name val="Tahoma"/>
      <family val="2"/>
    </font>
    <font>
      <sz val="9"/>
      <color rgb="FF000000"/>
      <name val="Tahoma"/>
      <family val="2"/>
    </font>
    <font>
      <sz val="12"/>
      <color rgb="FFFF0000"/>
      <name val="Calibri"/>
      <family val="2"/>
      <scheme val="minor"/>
    </font>
    <font>
      <b/>
      <sz val="12"/>
      <name val="Calibri"/>
      <family val="2"/>
      <scheme val="minor"/>
    </font>
    <font>
      <sz val="9"/>
      <color indexed="81"/>
      <name val="Tahoma"/>
      <charset val="1"/>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bgColor indexed="64"/>
      </patternFill>
    </fill>
  </fills>
  <borders count="23">
    <border>
      <left/>
      <right/>
      <top/>
      <bottom/>
      <diagonal/>
    </border>
    <border>
      <left/>
      <right/>
      <top/>
      <bottom style="thin">
        <color auto="1"/>
      </bottom>
      <diagonal/>
    </border>
    <border>
      <left/>
      <right/>
      <top style="thin">
        <color auto="1"/>
      </top>
      <bottom/>
      <diagonal/>
    </border>
    <border>
      <left/>
      <right/>
      <top style="thin">
        <color indexed="64"/>
      </top>
      <bottom style="thin">
        <color indexed="64"/>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top/>
      <bottom/>
      <diagonal/>
    </border>
    <border>
      <left/>
      <right style="thin">
        <color indexed="64"/>
      </right>
      <top style="thin">
        <color auto="1"/>
      </top>
      <bottom/>
      <diagonal/>
    </border>
    <border>
      <left/>
      <right style="thin">
        <color indexed="64"/>
      </right>
      <top/>
      <bottom style="thin">
        <color auto="1"/>
      </bottom>
      <diagonal/>
    </border>
    <border>
      <left/>
      <right style="thin">
        <color indexed="64"/>
      </right>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style="double">
        <color indexed="64"/>
      </bottom>
      <diagonal/>
    </border>
    <border>
      <left style="thin">
        <color auto="1"/>
      </left>
      <right/>
      <top style="double">
        <color indexed="64"/>
      </top>
      <bottom style="double">
        <color indexed="64"/>
      </bottom>
      <diagonal/>
    </border>
  </borders>
  <cellStyleXfs count="1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Border="0" applyProtection="0">
      <alignment vertical="top"/>
    </xf>
    <xf numFmtId="0" fontId="6" fillId="0" borderId="0">
      <alignment vertical="top"/>
    </xf>
    <xf numFmtId="0" fontId="2" fillId="0" borderId="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5" fillId="0" borderId="0" applyBorder="0" applyProtection="0">
      <alignment vertical="top"/>
    </xf>
    <xf numFmtId="0" fontId="8"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2" fillId="0" borderId="0" xfId="0" applyFont="1"/>
    <xf numFmtId="0" fontId="7" fillId="0" borderId="0" xfId="0" applyFont="1"/>
    <xf numFmtId="6" fontId="2" fillId="0" borderId="0" xfId="0" applyNumberFormat="1" applyFont="1"/>
    <xf numFmtId="0" fontId="7" fillId="0" borderId="0" xfId="0" applyFont="1" applyAlignment="1">
      <alignment horizontal="center"/>
    </xf>
    <xf numFmtId="166" fontId="11" fillId="3" borderId="0" xfId="0" applyNumberFormat="1" applyFont="1" applyFill="1"/>
    <xf numFmtId="167" fontId="11" fillId="3" borderId="0" xfId="2" applyNumberFormat="1" applyFont="1" applyFill="1"/>
    <xf numFmtId="166" fontId="0" fillId="0" borderId="0" xfId="0" applyNumberFormat="1"/>
    <xf numFmtId="0" fontId="7" fillId="4" borderId="2" xfId="0" applyFont="1" applyFill="1" applyBorder="1"/>
    <xf numFmtId="0" fontId="0" fillId="4" borderId="2" xfId="0" applyFill="1" applyBorder="1" applyAlignment="1">
      <alignment horizontal="left"/>
    </xf>
    <xf numFmtId="0" fontId="2" fillId="4" borderId="2" xfId="0" applyFont="1" applyFill="1" applyBorder="1" applyAlignment="1">
      <alignment horizontal="left"/>
    </xf>
    <xf numFmtId="0" fontId="7" fillId="4" borderId="1" xfId="0" applyFont="1" applyFill="1" applyBorder="1" applyAlignment="1">
      <alignment horizontal="right"/>
    </xf>
    <xf numFmtId="0" fontId="0" fillId="5" borderId="2" xfId="0" applyFill="1" applyBorder="1" applyAlignment="1">
      <alignment horizontal="left"/>
    </xf>
    <xf numFmtId="0" fontId="7" fillId="5" borderId="1" xfId="0" applyFont="1" applyFill="1" applyBorder="1" applyAlignment="1">
      <alignment horizontal="right"/>
    </xf>
    <xf numFmtId="0" fontId="14" fillId="6" borderId="2" xfId="0" applyFont="1" applyFill="1" applyBorder="1" applyAlignment="1">
      <alignment horizontal="left"/>
    </xf>
    <xf numFmtId="0" fontId="13" fillId="6" borderId="2" xfId="0" applyFont="1" applyFill="1" applyBorder="1" applyAlignment="1">
      <alignment horizontal="left"/>
    </xf>
    <xf numFmtId="0" fontId="14" fillId="6" borderId="1" xfId="0" applyFont="1" applyFill="1" applyBorder="1" applyAlignment="1">
      <alignment horizontal="right"/>
    </xf>
    <xf numFmtId="166" fontId="2" fillId="0" borderId="0" xfId="1" applyNumberFormat="1" applyFont="1" applyFill="1" applyBorder="1"/>
    <xf numFmtId="0" fontId="7" fillId="5" borderId="4" xfId="0" applyFont="1" applyFill="1" applyBorder="1" applyAlignment="1">
      <alignment horizontal="left"/>
    </xf>
    <xf numFmtId="165" fontId="7" fillId="0" borderId="0" xfId="1" applyNumberFormat="1" applyFont="1" applyBorder="1"/>
    <xf numFmtId="0" fontId="7" fillId="0" borderId="10" xfId="0" applyFont="1" applyBorder="1"/>
    <xf numFmtId="166" fontId="7" fillId="0" borderId="10" xfId="0" applyNumberFormat="1" applyFont="1" applyBorder="1"/>
    <xf numFmtId="14" fontId="0" fillId="0" borderId="0" xfId="0" applyNumberFormat="1"/>
    <xf numFmtId="0" fontId="2" fillId="2" borderId="0" xfId="0" applyFont="1" applyFill="1"/>
    <xf numFmtId="0" fontId="12" fillId="0" borderId="0" xfId="0" applyFont="1" applyAlignment="1">
      <alignment horizontal="center" wrapText="1"/>
    </xf>
    <xf numFmtId="0" fontId="2" fillId="5" borderId="2" xfId="0" applyFont="1" applyFill="1" applyBorder="1" applyAlignment="1">
      <alignment horizontal="left"/>
    </xf>
    <xf numFmtId="0" fontId="14" fillId="6" borderId="4" xfId="0" applyFont="1" applyFill="1" applyBorder="1" applyAlignment="1">
      <alignment horizontal="left"/>
    </xf>
    <xf numFmtId="0" fontId="0" fillId="0" borderId="6" xfId="0" applyBorder="1"/>
    <xf numFmtId="14" fontId="10" fillId="2" borderId="0" xfId="2" applyNumberFormat="1" applyFont="1" applyFill="1" applyBorder="1" applyProtection="1">
      <protection locked="0"/>
    </xf>
    <xf numFmtId="167" fontId="2" fillId="0" borderId="0" xfId="2" applyNumberFormat="1" applyBorder="1"/>
    <xf numFmtId="0" fontId="2" fillId="0" borderId="6" xfId="0" applyFont="1" applyBorder="1"/>
    <xf numFmtId="167" fontId="11" fillId="3" borderId="0" xfId="2" applyNumberFormat="1" applyFont="1" applyFill="1" applyBorder="1"/>
    <xf numFmtId="168" fontId="7" fillId="0" borderId="0" xfId="3" applyNumberFormat="1" applyFont="1" applyBorder="1"/>
    <xf numFmtId="0" fontId="7" fillId="0" borderId="2" xfId="0" applyFont="1" applyBorder="1"/>
    <xf numFmtId="0" fontId="7" fillId="0" borderId="1" xfId="0" applyFont="1" applyBorder="1" applyAlignment="1">
      <alignment horizontal="left"/>
    </xf>
    <xf numFmtId="0" fontId="7" fillId="7" borderId="2" xfId="0" applyFont="1" applyFill="1" applyBorder="1"/>
    <xf numFmtId="0" fontId="7" fillId="7" borderId="1" xfId="0" applyFont="1" applyFill="1" applyBorder="1" applyAlignment="1">
      <alignment horizontal="left"/>
    </xf>
    <xf numFmtId="0" fontId="7" fillId="5" borderId="0" xfId="0" applyFont="1" applyFill="1" applyAlignment="1">
      <alignment horizontal="left"/>
    </xf>
    <xf numFmtId="14" fontId="7" fillId="5" borderId="0" xfId="0" applyNumberFormat="1" applyFont="1" applyFill="1" applyAlignment="1">
      <alignment horizontal="left"/>
    </xf>
    <xf numFmtId="9" fontId="7" fillId="0" borderId="10" xfId="3" applyFont="1" applyBorder="1"/>
    <xf numFmtId="168" fontId="7" fillId="0" borderId="10" xfId="3" applyNumberFormat="1" applyFont="1" applyBorder="1"/>
    <xf numFmtId="168" fontId="2" fillId="0" borderId="0" xfId="3" applyNumberFormat="1" applyFont="1" applyBorder="1"/>
    <xf numFmtId="0" fontId="14" fillId="8" borderId="2" xfId="0" applyFont="1" applyFill="1" applyBorder="1" applyAlignment="1">
      <alignment horizontal="left"/>
    </xf>
    <xf numFmtId="0" fontId="14" fillId="8" borderId="7" xfId="0" applyFont="1" applyFill="1" applyBorder="1" applyAlignment="1">
      <alignment horizontal="left"/>
    </xf>
    <xf numFmtId="0" fontId="13" fillId="8" borderId="2" xfId="0" applyFont="1" applyFill="1" applyBorder="1" applyAlignment="1">
      <alignment horizontal="left"/>
    </xf>
    <xf numFmtId="0" fontId="13" fillId="8" borderId="7" xfId="0" applyFont="1" applyFill="1" applyBorder="1" applyAlignment="1">
      <alignment horizontal="left"/>
    </xf>
    <xf numFmtId="0" fontId="14" fillId="8" borderId="1" xfId="0" applyFont="1" applyFill="1" applyBorder="1" applyAlignment="1">
      <alignment horizontal="right"/>
    </xf>
    <xf numFmtId="0" fontId="14" fillId="8" borderId="8" xfId="0" applyFont="1" applyFill="1" applyBorder="1" applyAlignment="1">
      <alignment horizontal="right"/>
    </xf>
    <xf numFmtId="167" fontId="2" fillId="0" borderId="0" xfId="2" applyNumberFormat="1" applyFont="1"/>
    <xf numFmtId="0" fontId="14" fillId="8" borderId="12" xfId="0" applyFont="1" applyFill="1" applyBorder="1" applyAlignment="1">
      <alignment vertical="top" textRotation="180"/>
    </xf>
    <xf numFmtId="0" fontId="14" fillId="6" borderId="12" xfId="0" applyFont="1" applyFill="1" applyBorder="1" applyAlignment="1">
      <alignment vertical="top" textRotation="180"/>
    </xf>
    <xf numFmtId="0" fontId="0" fillId="0" borderId="0" xfId="0" applyAlignment="1">
      <alignment horizontal="right"/>
    </xf>
    <xf numFmtId="0" fontId="7" fillId="0" borderId="0" xfId="0" applyFont="1" applyAlignment="1">
      <alignment horizontal="right"/>
    </xf>
    <xf numFmtId="8" fontId="2" fillId="0" borderId="0" xfId="0" applyNumberFormat="1" applyFont="1"/>
    <xf numFmtId="0" fontId="2" fillId="0" borderId="9" xfId="0" applyFont="1" applyBorder="1"/>
    <xf numFmtId="167" fontId="18" fillId="0" borderId="0" xfId="2" applyNumberFormat="1" applyFont="1"/>
    <xf numFmtId="166" fontId="2" fillId="0" borderId="0" xfId="0" applyNumberFormat="1" applyFont="1"/>
    <xf numFmtId="167" fontId="2" fillId="0" borderId="0" xfId="0" applyNumberFormat="1" applyFont="1"/>
    <xf numFmtId="0" fontId="7" fillId="5" borderId="2" xfId="0" applyFont="1" applyFill="1" applyBorder="1" applyAlignment="1">
      <alignment horizontal="right"/>
    </xf>
    <xf numFmtId="0" fontId="14" fillId="6" borderId="2" xfId="0" applyFont="1" applyFill="1" applyBorder="1" applyAlignment="1">
      <alignment horizontal="right"/>
    </xf>
    <xf numFmtId="0" fontId="14" fillId="8" borderId="2" xfId="0" applyFont="1" applyFill="1" applyBorder="1" applyAlignment="1">
      <alignment horizontal="right"/>
    </xf>
    <xf numFmtId="0" fontId="15" fillId="0" borderId="0" xfId="0" applyFont="1" applyAlignment="1">
      <alignment horizontal="center" vertical="center" wrapText="1"/>
    </xf>
    <xf numFmtId="166" fontId="11" fillId="0" borderId="0" xfId="0" applyNumberFormat="1" applyFont="1"/>
    <xf numFmtId="167" fontId="2" fillId="0" borderId="0" xfId="2" applyNumberFormat="1" applyFont="1" applyBorder="1"/>
    <xf numFmtId="0" fontId="14" fillId="6" borderId="5" xfId="0" applyFont="1" applyFill="1" applyBorder="1" applyAlignment="1">
      <alignment horizontal="right"/>
    </xf>
    <xf numFmtId="0" fontId="7" fillId="5" borderId="0" xfId="0" applyFont="1" applyFill="1" applyAlignment="1">
      <alignment horizontal="right"/>
    </xf>
    <xf numFmtId="169" fontId="0" fillId="0" borderId="0" xfId="0" applyNumberFormat="1" applyAlignment="1">
      <alignment horizontal="right"/>
    </xf>
    <xf numFmtId="167" fontId="7" fillId="0" borderId="13" xfId="0" applyNumberFormat="1" applyFont="1" applyBorder="1"/>
    <xf numFmtId="0" fontId="7" fillId="0" borderId="13" xfId="0" applyFont="1" applyBorder="1"/>
    <xf numFmtId="0" fontId="14" fillId="4" borderId="12" xfId="0" applyFont="1" applyFill="1" applyBorder="1" applyAlignment="1">
      <alignment vertical="top" textRotation="180"/>
    </xf>
    <xf numFmtId="171" fontId="7" fillId="0" borderId="10" xfId="3" applyNumberFormat="1" applyFont="1" applyBorder="1"/>
    <xf numFmtId="0" fontId="7" fillId="9" borderId="0" xfId="0" applyFont="1" applyFill="1" applyAlignment="1">
      <alignment horizontal="left"/>
    </xf>
    <xf numFmtId="14" fontId="7" fillId="9" borderId="0" xfId="0" applyNumberFormat="1" applyFont="1" applyFill="1" applyAlignment="1">
      <alignment horizontal="left"/>
    </xf>
    <xf numFmtId="14" fontId="10" fillId="0" borderId="0" xfId="2" applyNumberFormat="1" applyFont="1" applyFill="1" applyBorder="1" applyProtection="1">
      <protection locked="0"/>
    </xf>
    <xf numFmtId="6" fontId="11" fillId="3" borderId="0" xfId="0" applyNumberFormat="1" applyFont="1" applyFill="1" applyProtection="1">
      <protection locked="0"/>
    </xf>
    <xf numFmtId="167" fontId="9" fillId="3" borderId="0" xfId="2" applyNumberFormat="1" applyFont="1" applyFill="1" applyBorder="1" applyProtection="1">
      <protection locked="0"/>
    </xf>
    <xf numFmtId="10" fontId="9" fillId="3" borderId="0" xfId="3" applyNumberFormat="1" applyFont="1" applyFill="1" applyBorder="1" applyProtection="1">
      <protection locked="0"/>
    </xf>
    <xf numFmtId="14" fontId="9" fillId="3" borderId="0" xfId="2" applyNumberFormat="1" applyFont="1" applyFill="1" applyBorder="1" applyProtection="1">
      <protection locked="0"/>
    </xf>
    <xf numFmtId="9" fontId="9" fillId="3" borderId="0" xfId="3" applyFont="1" applyFill="1" applyBorder="1" applyAlignment="1" applyProtection="1">
      <protection locked="0"/>
    </xf>
    <xf numFmtId="0" fontId="7" fillId="5" borderId="2" xfId="0" applyFont="1" applyFill="1" applyBorder="1" applyAlignment="1">
      <alignment horizontal="left"/>
    </xf>
    <xf numFmtId="0" fontId="7" fillId="0" borderId="13" xfId="0" applyFont="1" applyBorder="1" applyAlignment="1">
      <alignment horizontal="left"/>
    </xf>
    <xf numFmtId="0" fontId="14" fillId="8" borderId="1" xfId="0" applyFont="1" applyFill="1" applyBorder="1"/>
    <xf numFmtId="0" fontId="10" fillId="9" borderId="0" xfId="0" applyFont="1" applyFill="1" applyAlignment="1">
      <alignment horizontal="left"/>
    </xf>
    <xf numFmtId="0" fontId="19" fillId="9" borderId="0" xfId="0" applyFont="1" applyFill="1" applyAlignment="1">
      <alignment horizontal="right"/>
    </xf>
    <xf numFmtId="166" fontId="7" fillId="0" borderId="0" xfId="0" applyNumberFormat="1" applyFont="1"/>
    <xf numFmtId="0" fontId="11" fillId="3" borderId="0" xfId="0" applyFont="1" applyFill="1"/>
    <xf numFmtId="9" fontId="7" fillId="0" borderId="0" xfId="3" applyFont="1" applyBorder="1"/>
    <xf numFmtId="171" fontId="7" fillId="0" borderId="0" xfId="3" applyNumberFormat="1" applyFont="1" applyBorder="1"/>
    <xf numFmtId="166" fontId="7" fillId="0" borderId="13" xfId="0" applyNumberFormat="1" applyFont="1" applyBorder="1"/>
    <xf numFmtId="166" fontId="7" fillId="0" borderId="13" xfId="1" applyNumberFormat="1" applyFont="1" applyBorder="1"/>
    <xf numFmtId="167" fontId="7" fillId="0" borderId="13" xfId="2" applyNumberFormat="1" applyFont="1" applyBorder="1"/>
    <xf numFmtId="165" fontId="7" fillId="0" borderId="13" xfId="3" applyNumberFormat="1" applyFont="1" applyBorder="1"/>
    <xf numFmtId="9" fontId="7" fillId="0" borderId="13" xfId="3" applyFont="1" applyBorder="1"/>
    <xf numFmtId="9" fontId="7" fillId="0" borderId="13" xfId="1" applyNumberFormat="1" applyFont="1" applyBorder="1"/>
    <xf numFmtId="0" fontId="0" fillId="0" borderId="0" xfId="0" applyAlignment="1">
      <alignment horizontal="left"/>
    </xf>
    <xf numFmtId="0" fontId="14" fillId="6" borderId="0" xfId="0" applyFont="1" applyFill="1" applyAlignment="1">
      <alignment horizontal="right"/>
    </xf>
    <xf numFmtId="0" fontId="14" fillId="8" borderId="0" xfId="0" applyFont="1" applyFill="1" applyAlignment="1">
      <alignment horizontal="right"/>
    </xf>
    <xf numFmtId="167" fontId="2" fillId="0" borderId="3" xfId="0" applyNumberFormat="1" applyFont="1" applyBorder="1"/>
    <xf numFmtId="0" fontId="2" fillId="0" borderId="3" xfId="0" applyFont="1" applyBorder="1"/>
    <xf numFmtId="167" fontId="7" fillId="0" borderId="3" xfId="0" applyNumberFormat="1" applyFont="1" applyBorder="1" applyAlignment="1">
      <alignment horizontal="left" indent="1"/>
    </xf>
    <xf numFmtId="167" fontId="7" fillId="0" borderId="3" xfId="0" applyNumberFormat="1" applyFont="1" applyBorder="1"/>
    <xf numFmtId="0" fontId="7" fillId="0" borderId="3" xfId="0" applyFont="1" applyBorder="1" applyAlignment="1">
      <alignment horizontal="left" indent="1"/>
    </xf>
    <xf numFmtId="44" fontId="2" fillId="0" borderId="0" xfId="2" applyFont="1" applyFill="1" applyBorder="1"/>
    <xf numFmtId="6" fontId="0" fillId="0" borderId="0" xfId="0" applyNumberFormat="1" applyAlignment="1">
      <alignment horizontal="right"/>
    </xf>
    <xf numFmtId="173" fontId="0" fillId="0" borderId="0" xfId="0" applyNumberFormat="1"/>
    <xf numFmtId="165" fontId="7" fillId="0" borderId="13" xfId="0" applyNumberFormat="1" applyFont="1" applyBorder="1"/>
    <xf numFmtId="10" fontId="0" fillId="0" borderId="0" xfId="3" applyNumberFormat="1" applyFont="1" applyAlignment="1">
      <alignment horizontal="right"/>
    </xf>
    <xf numFmtId="9" fontId="9" fillId="3" borderId="0" xfId="3" applyFont="1" applyFill="1" applyBorder="1"/>
    <xf numFmtId="167" fontId="9" fillId="3" borderId="0" xfId="0" applyNumberFormat="1" applyFont="1" applyFill="1"/>
    <xf numFmtId="167" fontId="7" fillId="0" borderId="10" xfId="2" applyNumberFormat="1" applyFont="1" applyBorder="1"/>
    <xf numFmtId="167" fontId="2" fillId="0" borderId="0" xfId="2" applyNumberFormat="1" applyFont="1" applyFill="1" applyBorder="1"/>
    <xf numFmtId="44" fontId="2" fillId="0" borderId="0" xfId="2" applyBorder="1"/>
    <xf numFmtId="44" fontId="7" fillId="0" borderId="3" xfId="0" applyNumberFormat="1" applyFont="1" applyBorder="1" applyAlignment="1">
      <alignment horizontal="left" indent="1"/>
    </xf>
    <xf numFmtId="166" fontId="2" fillId="0" borderId="0" xfId="1" applyNumberFormat="1" applyBorder="1"/>
    <xf numFmtId="166" fontId="7" fillId="0" borderId="3" xfId="1" applyNumberFormat="1" applyFont="1" applyBorder="1" applyAlignment="1">
      <alignment horizontal="left" indent="1"/>
    </xf>
    <xf numFmtId="167" fontId="11" fillId="3" borderId="6" xfId="2" applyNumberFormat="1" applyFont="1" applyFill="1" applyBorder="1"/>
    <xf numFmtId="166" fontId="7" fillId="0" borderId="22" xfId="0" applyNumberFormat="1" applyFont="1" applyBorder="1"/>
    <xf numFmtId="166" fontId="7" fillId="0" borderId="6" xfId="0" applyNumberFormat="1" applyFont="1" applyBorder="1"/>
    <xf numFmtId="166" fontId="2" fillId="0" borderId="6" xfId="1" applyNumberFormat="1" applyFont="1" applyFill="1" applyBorder="1"/>
    <xf numFmtId="167" fontId="7" fillId="0" borderId="21" xfId="2" applyNumberFormat="1" applyFont="1" applyBorder="1"/>
    <xf numFmtId="0" fontId="7" fillId="4" borderId="2" xfId="0" applyFont="1" applyFill="1" applyBorder="1" applyAlignment="1">
      <alignment horizontal="left"/>
    </xf>
    <xf numFmtId="14" fontId="0" fillId="0" borderId="0" xfId="2" applyNumberFormat="1" applyFont="1" applyFill="1" applyProtection="1">
      <protection locked="0"/>
    </xf>
    <xf numFmtId="170" fontId="0" fillId="0" borderId="0" xfId="2" applyNumberFormat="1" applyFont="1" applyFill="1"/>
    <xf numFmtId="44" fontId="0" fillId="0" borderId="0" xfId="2" applyFont="1" applyFill="1"/>
    <xf numFmtId="6" fontId="0" fillId="0" borderId="0" xfId="0" applyNumberFormat="1" applyProtection="1">
      <protection locked="0"/>
    </xf>
    <xf numFmtId="6" fontId="0" fillId="0" borderId="0" xfId="0" applyNumberFormat="1"/>
    <xf numFmtId="8" fontId="0" fillId="0" borderId="0" xfId="0" applyNumberFormat="1"/>
    <xf numFmtId="9" fontId="0" fillId="0" borderId="0" xfId="3" applyFont="1" applyFill="1" applyBorder="1" applyAlignment="1" applyProtection="1">
      <protection locked="0"/>
    </xf>
    <xf numFmtId="167" fontId="0" fillId="0" borderId="0" xfId="2" applyNumberFormat="1" applyFont="1" applyFill="1" applyBorder="1"/>
    <xf numFmtId="0" fontId="14" fillId="8" borderId="0" xfId="0" applyFont="1" applyFill="1" applyAlignment="1">
      <alignment horizontal="left"/>
    </xf>
    <xf numFmtId="0" fontId="13" fillId="8" borderId="0" xfId="0" applyFont="1" applyFill="1" applyAlignment="1">
      <alignment horizontal="left"/>
    </xf>
    <xf numFmtId="0" fontId="13" fillId="8" borderId="9" xfId="0" applyFont="1" applyFill="1" applyBorder="1" applyAlignment="1">
      <alignment horizontal="left"/>
    </xf>
    <xf numFmtId="14" fontId="0" fillId="0" borderId="0" xfId="2" applyNumberFormat="1" applyFont="1" applyFill="1" applyBorder="1" applyProtection="1">
      <protection locked="0"/>
    </xf>
    <xf numFmtId="172" fontId="0" fillId="0" borderId="0" xfId="0" applyNumberFormat="1"/>
    <xf numFmtId="0" fontId="0" fillId="0" borderId="0" xfId="0" applyAlignment="1">
      <alignment horizontal="left" indent="1"/>
    </xf>
    <xf numFmtId="9" fontId="0" fillId="0" borderId="0" xfId="3" applyFont="1" applyFill="1" applyBorder="1" applyProtection="1">
      <protection locked="0"/>
    </xf>
    <xf numFmtId="166" fontId="0" fillId="0" borderId="0" xfId="1" applyNumberFormat="1" applyFont="1" applyFill="1" applyBorder="1" applyAlignment="1" applyProtection="1">
      <alignment horizontal="right"/>
      <protection locked="0"/>
    </xf>
    <xf numFmtId="9" fontId="11" fillId="3" borderId="0" xfId="0" applyNumberFormat="1" applyFont="1" applyFill="1"/>
    <xf numFmtId="171" fontId="7" fillId="0" borderId="0" xfId="1" applyNumberFormat="1" applyFont="1" applyBorder="1"/>
    <xf numFmtId="171" fontId="7" fillId="0" borderId="13" xfId="0" applyNumberFormat="1" applyFont="1" applyBorder="1"/>
    <xf numFmtId="171" fontId="2" fillId="0" borderId="0" xfId="3" applyNumberFormat="1" applyFont="1" applyBorder="1"/>
    <xf numFmtId="171" fontId="7" fillId="0" borderId="9" xfId="1" applyNumberFormat="1" applyFont="1" applyBorder="1"/>
    <xf numFmtId="171" fontId="7" fillId="0" borderId="11" xfId="3" applyNumberFormat="1" applyFont="1" applyBorder="1"/>
    <xf numFmtId="171" fontId="7" fillId="0" borderId="9" xfId="3" applyNumberFormat="1" applyFont="1" applyBorder="1"/>
    <xf numFmtId="171" fontId="7" fillId="0" borderId="14" xfId="0" applyNumberFormat="1" applyFont="1" applyBorder="1"/>
    <xf numFmtId="171" fontId="7" fillId="0" borderId="0" xfId="3" applyNumberFormat="1" applyFont="1" applyFill="1" applyBorder="1"/>
    <xf numFmtId="171" fontId="2" fillId="0" borderId="0" xfId="0" applyNumberFormat="1" applyFont="1"/>
    <xf numFmtId="171" fontId="7" fillId="0" borderId="13" xfId="1" applyNumberFormat="1" applyFont="1" applyBorder="1"/>
    <xf numFmtId="0" fontId="14" fillId="6" borderId="0" xfId="0" applyFont="1" applyFill="1" applyAlignment="1">
      <alignment horizontal="left"/>
    </xf>
    <xf numFmtId="0" fontId="14" fillId="11" borderId="4" xfId="0" applyFont="1" applyFill="1" applyBorder="1" applyAlignment="1">
      <alignment horizontal="left"/>
    </xf>
    <xf numFmtId="0" fontId="14" fillId="11" borderId="2" xfId="0" applyFont="1" applyFill="1" applyBorder="1" applyAlignment="1">
      <alignment horizontal="left"/>
    </xf>
    <xf numFmtId="0" fontId="14" fillId="11" borderId="7" xfId="0" applyFont="1" applyFill="1" applyBorder="1" applyAlignment="1">
      <alignment horizontal="left"/>
    </xf>
    <xf numFmtId="166" fontId="9" fillId="3" borderId="6" xfId="1" applyNumberFormat="1" applyFont="1" applyFill="1" applyBorder="1" applyAlignment="1" applyProtection="1">
      <alignment horizontal="left"/>
      <protection locked="0"/>
    </xf>
    <xf numFmtId="166" fontId="9" fillId="3" borderId="0" xfId="1" applyNumberFormat="1" applyFont="1" applyFill="1" applyBorder="1" applyAlignment="1" applyProtection="1">
      <alignment horizontal="left"/>
      <protection locked="0"/>
    </xf>
    <xf numFmtId="166" fontId="9" fillId="3" borderId="9" xfId="1" applyNumberFormat="1" applyFont="1" applyFill="1" applyBorder="1" applyAlignment="1" applyProtection="1">
      <alignment horizontal="left"/>
      <protection locked="0"/>
    </xf>
    <xf numFmtId="0" fontId="2" fillId="0" borderId="5" xfId="0" applyFont="1" applyBorder="1" applyAlignment="1">
      <alignment horizontal="left"/>
    </xf>
    <xf numFmtId="0" fontId="2" fillId="0" borderId="1" xfId="0" applyFont="1" applyBorder="1" applyAlignment="1">
      <alignment horizontal="left"/>
    </xf>
    <xf numFmtId="0" fontId="2" fillId="0" borderId="8" xfId="0" applyFont="1" applyBorder="1" applyAlignment="1">
      <alignment horizontal="left"/>
    </xf>
    <xf numFmtId="0" fontId="15" fillId="0" borderId="0" xfId="0" applyFont="1" applyAlignment="1">
      <alignment horizontal="center" vertical="center" wrapText="1"/>
    </xf>
    <xf numFmtId="0" fontId="11" fillId="3" borderId="19" xfId="0" applyFont="1" applyFill="1" applyBorder="1" applyAlignment="1">
      <alignment horizontal="center"/>
    </xf>
    <xf numFmtId="0" fontId="11" fillId="3" borderId="20" xfId="0" applyFont="1" applyFill="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0" fontId="19" fillId="4" borderId="12" xfId="0" applyFont="1" applyFill="1" applyBorder="1" applyAlignment="1">
      <alignment horizontal="center" vertical="top" textRotation="180"/>
    </xf>
    <xf numFmtId="0" fontId="19" fillId="4" borderId="6" xfId="0" applyFont="1" applyFill="1" applyBorder="1" applyAlignment="1">
      <alignment horizontal="center" vertical="top" textRotation="180"/>
    </xf>
    <xf numFmtId="0" fontId="12" fillId="10" borderId="0" xfId="0" applyFont="1" applyFill="1" applyAlignment="1">
      <alignment horizontal="left" vertical="top" wrapText="1"/>
    </xf>
    <xf numFmtId="0" fontId="14" fillId="8" borderId="4" xfId="0" applyFont="1" applyFill="1" applyBorder="1" applyAlignment="1">
      <alignment horizontal="center" vertical="top" textRotation="180"/>
    </xf>
    <xf numFmtId="0" fontId="14" fillId="8" borderId="6" xfId="0" applyFont="1" applyFill="1" applyBorder="1" applyAlignment="1">
      <alignment horizontal="center" vertical="top" textRotation="180"/>
    </xf>
    <xf numFmtId="166" fontId="9" fillId="3" borderId="19" xfId="1" applyNumberFormat="1" applyFont="1" applyFill="1" applyBorder="1" applyAlignment="1" applyProtection="1">
      <alignment horizontal="center"/>
      <protection locked="0"/>
    </xf>
    <xf numFmtId="166" fontId="9" fillId="3" borderId="20" xfId="1" applyNumberFormat="1" applyFont="1" applyFill="1" applyBorder="1" applyAlignment="1" applyProtection="1">
      <alignment horizontal="center"/>
      <protection locked="0"/>
    </xf>
    <xf numFmtId="0" fontId="14" fillId="6" borderId="12" xfId="0" applyFont="1" applyFill="1" applyBorder="1" applyAlignment="1">
      <alignment horizontal="center" vertical="top" textRotation="180"/>
    </xf>
    <xf numFmtId="0" fontId="7" fillId="0" borderId="0" xfId="0" applyFont="1" applyAlignment="1">
      <alignment horizontal="center"/>
    </xf>
    <xf numFmtId="0" fontId="0" fillId="0" borderId="0" xfId="0" applyAlignment="1">
      <alignment horizontal="center"/>
    </xf>
    <xf numFmtId="166" fontId="0" fillId="0" borderId="0" xfId="1" applyNumberFormat="1" applyFont="1" applyFill="1" applyBorder="1" applyAlignment="1" applyProtection="1">
      <alignment horizontal="center"/>
      <protection locked="0"/>
    </xf>
  </cellXfs>
  <cellStyles count="19">
    <cellStyle name="Comma 2" xfId="16" xr:uid="{1A0E31FF-CC26-4BCD-9AB1-BD337BDCF34F}"/>
    <cellStyle name="Currency 2" xfId="17" xr:uid="{28AF9450-6BC0-4B41-9DB0-1F79E07664C9}"/>
    <cellStyle name="Currency 3" xfId="10" xr:uid="{9D3C863E-2795-4AE9-A5CC-13DA0C2E9B20}"/>
    <cellStyle name="Currency 4" xfId="11" xr:uid="{43FD38B4-9B36-4BB8-A28C-CB615FF410BF}"/>
    <cellStyle name="Gevolgde hyperlink" xfId="5" builtinId="9" hidden="1"/>
    <cellStyle name="Hyperlink" xfId="4" builtinId="8" hidden="1"/>
    <cellStyle name="Komma" xfId="1" builtinId="3"/>
    <cellStyle name="Normal 2" xfId="6" xr:uid="{00000000-0005-0000-0000-000003000000}"/>
    <cellStyle name="Normal 2 2" xfId="13" xr:uid="{8875143A-8C06-438A-BDBE-AF8DB2F2D136}"/>
    <cellStyle name="Normal 3" xfId="7" xr:uid="{00000000-0005-0000-0000-000004000000}"/>
    <cellStyle name="Normal 4" xfId="15" xr:uid="{D19FCC7C-203C-46FF-A91A-DAD8CE8D8393}"/>
    <cellStyle name="Normal 6" xfId="8" xr:uid="{49FC3CBD-1831-4839-B6D7-2940B4BA6FB2}"/>
    <cellStyle name="Percent 2" xfId="18" xr:uid="{6662E853-8A5B-4969-950B-FC9DD85EF9BF}"/>
    <cellStyle name="Percent 3 2" xfId="12" xr:uid="{ADB271B7-8863-40C5-BCE6-E7D76CA06787}"/>
    <cellStyle name="Percent 5" xfId="9" xr:uid="{A824A5C7-E8AF-40EE-91EA-CB46D77D6D64}"/>
    <cellStyle name="Procent" xfId="3" builtinId="5"/>
    <cellStyle name="rbCheck" xfId="14" xr:uid="{1A0B76E2-BC15-4143-8784-F0B5272C70E1}"/>
    <cellStyle name="Standaard" xfId="0" builtinId="0"/>
    <cellStyle name="Valuta" xfId="2" builtinId="4"/>
  </cellStyles>
  <dxfs count="4">
    <dxf>
      <font>
        <color theme="4"/>
      </font>
      <fill>
        <patternFill>
          <bgColor theme="2"/>
        </patternFill>
      </fill>
    </dxf>
    <dxf>
      <font>
        <color theme="4"/>
      </font>
      <fill>
        <patternFill>
          <bgColor theme="2"/>
        </patternFill>
      </fill>
    </dxf>
    <dxf>
      <font>
        <color theme="9" tint="0.59996337778862885"/>
      </font>
    </dxf>
    <dxf>
      <font>
        <color theme="9" tint="0.59996337778862885"/>
      </font>
    </dxf>
  </dxfs>
  <tableStyles count="0" defaultTableStyle="TableStyleMedium9" defaultPivotStyle="PivotStyleMedium7"/>
  <colors>
    <mruColors>
      <color rgb="FF4F81BD"/>
      <color rgb="FFFF9966"/>
      <color rgb="FF9437FF"/>
      <color rgb="FFD88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9</xdr:col>
      <xdr:colOff>304800</xdr:colOff>
      <xdr:row>2</xdr:row>
      <xdr:rowOff>104775</xdr:rowOff>
    </xdr:to>
    <xdr:sp macro="" textlink="">
      <xdr:nvSpPr>
        <xdr:cNvPr id="9292" name="AutoShape 76" descr="Capital Waters Logo">
          <a:extLst>
            <a:ext uri="{FF2B5EF4-FFF2-40B4-BE49-F238E27FC236}">
              <a16:creationId xmlns:a16="http://schemas.microsoft.com/office/drawing/2014/main" id="{2288AF2A-41AC-6EF7-31A0-443518D111CA}"/>
            </a:ext>
          </a:extLst>
        </xdr:cNvPr>
        <xdr:cNvSpPr>
          <a:spLocks noChangeAspect="1" noChangeArrowheads="1"/>
        </xdr:cNvSpPr>
      </xdr:nvSpPr>
      <xdr:spPr bwMode="auto">
        <a:xfrm>
          <a:off x="6886575" y="17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EF27B-0D06-4C0F-BF46-36707DA1507E}">
  <sheetPr codeName="Sheet1">
    <tabColor rgb="FF0070C0"/>
  </sheetPr>
  <dimension ref="B1:AN50"/>
  <sheetViews>
    <sheetView showGridLines="0" tabSelected="1" zoomScale="85" zoomScaleNormal="85" workbookViewId="0">
      <selection activeCell="S26" sqref="S26"/>
    </sheetView>
  </sheetViews>
  <sheetFormatPr baseColWidth="10" defaultColWidth="10.6640625" defaultRowHeight="16" outlineLevelRow="1" outlineLevelCol="1" x14ac:dyDescent="0.2"/>
  <cols>
    <col min="1" max="1" width="1.1640625" style="1" customWidth="1"/>
    <col min="2" max="2" width="29.83203125" style="1" customWidth="1"/>
    <col min="3" max="3" width="1.1640625" style="1" customWidth="1"/>
    <col min="4" max="4" width="13.5" style="1" customWidth="1" outlineLevel="1"/>
    <col min="5" max="5" width="15.1640625" style="1" customWidth="1" outlineLevel="1"/>
    <col min="6" max="6" width="13" style="1" customWidth="1" outlineLevel="1"/>
    <col min="7" max="7" width="9" style="1" customWidth="1" outlineLevel="1"/>
    <col min="8" max="8" width="13.1640625" style="1" customWidth="1" outlineLevel="1"/>
    <col min="9" max="9" width="5.1640625" style="1" bestFit="1" customWidth="1"/>
    <col min="10" max="10" width="13.6640625" style="1" customWidth="1" outlineLevel="1"/>
    <col min="11" max="11" width="10.6640625" style="1" bestFit="1" customWidth="1" outlineLevel="1"/>
    <col min="12" max="12" width="15.1640625" style="1" customWidth="1" outlineLevel="1"/>
    <col min="13" max="13" width="13.1640625" style="1" customWidth="1" outlineLevel="1"/>
    <col min="14" max="14" width="21" style="1" bestFit="1" customWidth="1" outlineLevel="1"/>
    <col min="15" max="15" width="15.1640625" style="1" customWidth="1" outlineLevel="1"/>
    <col min="16" max="16" width="13.6640625" style="1" customWidth="1" outlineLevel="1"/>
    <col min="17" max="17" width="12.1640625" style="1" customWidth="1" outlineLevel="1"/>
    <col min="18" max="18" width="12.6640625" style="1" customWidth="1" outlineLevel="1"/>
    <col min="19" max="19" width="10.6640625" style="1" customWidth="1" outlineLevel="1"/>
    <col min="20" max="20" width="11.1640625" style="1" customWidth="1" outlineLevel="1"/>
    <col min="21" max="21" width="11.6640625" style="1" customWidth="1" outlineLevel="1"/>
    <col min="22" max="22" width="9.1640625" style="1" customWidth="1" outlineLevel="1"/>
    <col min="23" max="23" width="8.1640625" style="1" bestFit="1" customWidth="1" outlineLevel="1"/>
    <col min="24" max="24" width="5.1640625" style="1" bestFit="1" customWidth="1"/>
    <col min="25" max="25" width="13.6640625" style="1" customWidth="1" outlineLevel="1"/>
    <col min="26" max="26" width="9.33203125" style="1" bestFit="1" customWidth="1" outlineLevel="1"/>
    <col min="27" max="27" width="15.1640625" style="1" customWidth="1" outlineLevel="1"/>
    <col min="28" max="28" width="11.6640625" style="1" customWidth="1" outlineLevel="1"/>
    <col min="29" max="29" width="15.6640625" style="1" customWidth="1" outlineLevel="1"/>
    <col min="30" max="30" width="15.1640625" style="1" customWidth="1" outlineLevel="1"/>
    <col min="31" max="31" width="11.5" style="1" customWidth="1" outlineLevel="1"/>
    <col min="32" max="32" width="12.1640625" style="1" customWidth="1" outlineLevel="1"/>
    <col min="33" max="33" width="12.6640625" style="1" customWidth="1" outlineLevel="1"/>
    <col min="34" max="34" width="10.6640625" style="1" bestFit="1" customWidth="1" outlineLevel="1"/>
    <col min="35" max="35" width="10.6640625" style="1" customWidth="1" outlineLevel="1"/>
    <col min="36" max="36" width="11.6640625" style="1" customWidth="1" outlineLevel="1"/>
    <col min="37" max="37" width="9.1640625" style="1" bestFit="1" customWidth="1" outlineLevel="1"/>
    <col min="38" max="38" width="9.1640625" style="1" customWidth="1" outlineLevel="1"/>
    <col min="39" max="39" width="9.1640625" style="1" bestFit="1" customWidth="1" outlineLevel="1"/>
    <col min="40" max="40" width="5.1640625" style="1" bestFit="1" customWidth="1"/>
    <col min="41" max="16384" width="10.6640625" style="1"/>
  </cols>
  <sheetData>
    <row r="1" spans="2:40" ht="13.5" customHeight="1" thickBot="1" x14ac:dyDescent="0.25">
      <c r="B1" s="23"/>
      <c r="C1" s="23"/>
      <c r="D1" s="8"/>
      <c r="E1" s="8"/>
      <c r="F1" s="9"/>
      <c r="G1" s="9"/>
      <c r="H1" s="10"/>
      <c r="I1" s="167" t="s">
        <v>0</v>
      </c>
      <c r="J1" s="79"/>
      <c r="K1" s="18"/>
      <c r="L1" s="18"/>
      <c r="M1" s="18"/>
      <c r="N1" s="26"/>
      <c r="O1" s="14"/>
      <c r="P1" s="14"/>
      <c r="Q1" s="14"/>
      <c r="R1" s="14"/>
      <c r="S1" s="14"/>
      <c r="T1" s="14"/>
      <c r="U1" s="14"/>
      <c r="V1" s="14"/>
      <c r="W1" s="14"/>
      <c r="X1" s="174" t="s">
        <v>1</v>
      </c>
      <c r="Y1" s="71"/>
      <c r="Z1" s="71"/>
      <c r="AA1" s="71"/>
      <c r="AB1" s="71"/>
      <c r="AC1" s="42"/>
      <c r="AD1" s="42"/>
      <c r="AE1" s="42"/>
      <c r="AF1" s="42"/>
      <c r="AG1" s="42"/>
      <c r="AH1" s="42"/>
      <c r="AI1" s="42"/>
      <c r="AJ1" s="42"/>
      <c r="AK1" s="42"/>
      <c r="AL1" s="42"/>
      <c r="AM1" s="43"/>
      <c r="AN1" s="170" t="s">
        <v>2</v>
      </c>
    </row>
    <row r="2" spans="2:40" ht="16.25" customHeight="1" outlineLevel="1" x14ac:dyDescent="0.2">
      <c r="B2" s="158" t="s">
        <v>56</v>
      </c>
      <c r="C2" s="61"/>
      <c r="I2" s="167"/>
      <c r="J2"/>
      <c r="N2" s="30"/>
      <c r="O2" s="55"/>
      <c r="Q2" s="52" t="s">
        <v>3</v>
      </c>
      <c r="S2" s="163" t="s">
        <v>60</v>
      </c>
      <c r="T2" s="164"/>
      <c r="X2" s="174"/>
      <c r="AC2" s="30"/>
      <c r="AD2" s="55"/>
      <c r="AF2" s="52" t="s">
        <v>3</v>
      </c>
      <c r="AH2" s="163" t="s">
        <v>4</v>
      </c>
      <c r="AI2" s="164"/>
      <c r="AM2" s="54"/>
      <c r="AN2" s="171"/>
    </row>
    <row r="3" spans="2:40" ht="16.25" customHeight="1" outlineLevel="1" x14ac:dyDescent="0.2">
      <c r="B3" s="158"/>
      <c r="C3" s="61"/>
      <c r="I3" s="167"/>
      <c r="N3" s="27" t="s">
        <v>5</v>
      </c>
      <c r="O3" s="74">
        <v>2500000</v>
      </c>
      <c r="P3" s="51" t="s">
        <v>6</v>
      </c>
      <c r="Q3" s="53">
        <f>IFERROR(
ROUND(
O3/(F27+K23+IF(S4="pre",S25,0)),
IF(S7="YES",2,10)),
10)</f>
        <v>2.5</v>
      </c>
      <c r="S3" s="165"/>
      <c r="T3" s="166"/>
      <c r="X3" s="174"/>
      <c r="AC3" s="27" t="s">
        <v>5</v>
      </c>
      <c r="AD3" s="74">
        <v>15000000</v>
      </c>
      <c r="AE3" s="51" t="s">
        <v>6</v>
      </c>
      <c r="AF3" s="53">
        <f ca="1">IFERROR(
ROUND(
AD3/(T27+Z23+IF(AH4="pre",AI25,0)),
IF(AH7="YES",2,10)),
10)</f>
        <v>8.44</v>
      </c>
      <c r="AH3" s="165"/>
      <c r="AI3" s="166"/>
      <c r="AM3" s="54"/>
      <c r="AN3" s="171"/>
    </row>
    <row r="4" spans="2:40" ht="15.75" customHeight="1" outlineLevel="1" thickBot="1" x14ac:dyDescent="0.25">
      <c r="B4" s="158"/>
      <c r="C4" s="61"/>
      <c r="I4" s="167"/>
      <c r="N4" s="27"/>
      <c r="O4" s="3"/>
      <c r="P4" s="51"/>
      <c r="Q4" s="53"/>
      <c r="R4"/>
      <c r="S4" s="159" t="s">
        <v>7</v>
      </c>
      <c r="T4" s="160"/>
      <c r="X4" s="174"/>
      <c r="AC4" s="27"/>
      <c r="AD4" s="3"/>
      <c r="AE4" s="51"/>
      <c r="AG4"/>
      <c r="AH4" s="159" t="s">
        <v>7</v>
      </c>
      <c r="AI4" s="160"/>
      <c r="AM4" s="54"/>
      <c r="AN4" s="171"/>
    </row>
    <row r="5" spans="2:40" ht="15.75" customHeight="1" outlineLevel="1" thickBot="1" x14ac:dyDescent="0.25">
      <c r="B5" s="4"/>
      <c r="C5" s="24"/>
      <c r="I5" s="167"/>
      <c r="N5" s="27" t="s">
        <v>8</v>
      </c>
      <c r="O5" s="3">
        <f>N23</f>
        <v>1500000</v>
      </c>
      <c r="P5" s="51"/>
      <c r="Q5" s="53"/>
      <c r="R5"/>
      <c r="X5" s="174"/>
      <c r="AC5" s="27" t="s">
        <v>8</v>
      </c>
      <c r="AD5" s="3">
        <f>AC23</f>
        <v>8000000</v>
      </c>
      <c r="AM5" s="54"/>
      <c r="AN5" s="171"/>
    </row>
    <row r="6" spans="2:40" ht="16.25" customHeight="1" outlineLevel="1" x14ac:dyDescent="0.2">
      <c r="B6" s="4"/>
      <c r="C6" s="24"/>
      <c r="D6" s="169" t="s">
        <v>9</v>
      </c>
      <c r="E6" s="169"/>
      <c r="F6" s="169"/>
      <c r="G6" s="3"/>
      <c r="I6" s="168"/>
      <c r="J6" s="30"/>
      <c r="N6" s="27" t="s">
        <v>10</v>
      </c>
      <c r="O6" s="3">
        <f>O3+N23</f>
        <v>4000000</v>
      </c>
      <c r="P6" s="103"/>
      <c r="Q6" s="66"/>
      <c r="R6"/>
      <c r="S6" s="161" t="s">
        <v>11</v>
      </c>
      <c r="T6" s="162"/>
      <c r="X6" s="174"/>
      <c r="AC6" s="27" t="s">
        <v>10</v>
      </c>
      <c r="AD6" s="3">
        <f>AD3+AC23</f>
        <v>23000000</v>
      </c>
      <c r="AH6" s="161" t="s">
        <v>11</v>
      </c>
      <c r="AI6" s="162"/>
      <c r="AM6" s="54"/>
      <c r="AN6" s="171"/>
    </row>
    <row r="7" spans="2:40" ht="16.25" customHeight="1" outlineLevel="1" thickBot="1" x14ac:dyDescent="0.25">
      <c r="B7" s="4"/>
      <c r="D7" s="169"/>
      <c r="E7" s="169"/>
      <c r="F7" s="169"/>
      <c r="I7" s="167"/>
      <c r="M7" s="54"/>
      <c r="N7" s="51"/>
      <c r="O7" s="51"/>
      <c r="P7" s="51"/>
      <c r="Q7" s="106"/>
      <c r="R7" s="104"/>
      <c r="S7" s="172" t="s">
        <v>12</v>
      </c>
      <c r="T7" s="173"/>
      <c r="X7" s="174"/>
      <c r="AB7" s="54"/>
      <c r="AC7" s="55"/>
      <c r="AD7" s="55"/>
      <c r="AE7" s="55"/>
      <c r="AF7" s="55"/>
      <c r="AH7" s="172" t="s">
        <v>12</v>
      </c>
      <c r="AI7" s="173"/>
      <c r="AM7" s="54"/>
      <c r="AN7" s="171"/>
    </row>
    <row r="8" spans="2:40" ht="16.25" customHeight="1" outlineLevel="1" thickBot="1" x14ac:dyDescent="0.25">
      <c r="B8" s="4"/>
      <c r="D8" s="169"/>
      <c r="E8" s="169"/>
      <c r="F8" s="169"/>
      <c r="I8" s="167"/>
      <c r="M8" s="54"/>
      <c r="N8" s="94"/>
      <c r="O8" s="94"/>
      <c r="P8" s="94"/>
      <c r="R8"/>
      <c r="X8" s="174"/>
      <c r="AB8" s="54"/>
      <c r="AC8" s="94"/>
      <c r="AD8" s="94"/>
      <c r="AE8" s="94"/>
      <c r="AM8" s="54"/>
      <c r="AN8" s="171"/>
    </row>
    <row r="9" spans="2:40" ht="16.25" customHeight="1" outlineLevel="1" x14ac:dyDescent="0.2">
      <c r="B9" s="4"/>
      <c r="D9" s="169"/>
      <c r="E9" s="169"/>
      <c r="F9" s="169"/>
      <c r="I9" s="167"/>
      <c r="M9" s="54"/>
      <c r="N9" s="51"/>
      <c r="O9" s="51"/>
      <c r="P9" s="51"/>
      <c r="S9" s="161" t="s">
        <v>13</v>
      </c>
      <c r="T9" s="162"/>
      <c r="X9" s="174"/>
      <c r="AB9" s="54"/>
      <c r="AC9" s="55"/>
      <c r="AD9" s="55"/>
      <c r="AH9" s="161" t="s">
        <v>14</v>
      </c>
      <c r="AI9" s="162"/>
      <c r="AM9" s="54"/>
      <c r="AN9" s="171"/>
    </row>
    <row r="10" spans="2:40" ht="16.25" customHeight="1" outlineLevel="1" thickBot="1" x14ac:dyDescent="0.25">
      <c r="B10" s="4"/>
      <c r="D10" s="169"/>
      <c r="E10" s="169"/>
      <c r="F10" s="169"/>
      <c r="I10" s="167"/>
      <c r="N10" s="27" t="s">
        <v>15</v>
      </c>
      <c r="O10" s="137">
        <v>0.10011248590000001</v>
      </c>
      <c r="S10" s="172" t="s">
        <v>12</v>
      </c>
      <c r="T10" s="173"/>
      <c r="X10" s="174"/>
      <c r="AC10" s="27" t="s">
        <v>16</v>
      </c>
      <c r="AD10" s="78">
        <v>9.995524972E-2</v>
      </c>
      <c r="AH10" s="172" t="s">
        <v>12</v>
      </c>
      <c r="AI10" s="173"/>
      <c r="AM10" s="54"/>
      <c r="AN10" s="171"/>
    </row>
    <row r="11" spans="2:40" ht="17.25" customHeight="1" x14ac:dyDescent="0.2">
      <c r="I11" s="69"/>
      <c r="N11" s="27"/>
      <c r="X11" s="50"/>
      <c r="AC11" s="30"/>
      <c r="AM11" s="54"/>
      <c r="AN11" s="49"/>
    </row>
    <row r="12" spans="2:40" ht="16.25" customHeight="1" outlineLevel="1" x14ac:dyDescent="0.2">
      <c r="B12" s="35"/>
      <c r="C12" s="33"/>
      <c r="D12" s="8"/>
      <c r="E12" s="8" t="s">
        <v>0</v>
      </c>
      <c r="F12" s="9"/>
      <c r="G12" s="9"/>
      <c r="H12" s="10"/>
      <c r="I12" s="69"/>
      <c r="J12" s="79" t="s">
        <v>17</v>
      </c>
      <c r="K12" s="58" t="s">
        <v>18</v>
      </c>
      <c r="L12" s="12"/>
      <c r="M12" s="25"/>
      <c r="N12" s="26" t="str">
        <f>X1</f>
        <v>SEED ROUND</v>
      </c>
      <c r="O12" s="14"/>
      <c r="P12" s="15"/>
      <c r="Q12" s="59"/>
      <c r="R12" s="95" t="s">
        <v>19</v>
      </c>
      <c r="S12" s="95" t="s">
        <v>20</v>
      </c>
      <c r="T12" s="15"/>
      <c r="U12" s="15"/>
      <c r="V12" s="15"/>
      <c r="W12" s="15"/>
      <c r="X12" s="50"/>
      <c r="Y12" s="71" t="s">
        <v>17</v>
      </c>
      <c r="Z12" s="71" t="s">
        <v>21</v>
      </c>
      <c r="AA12" s="71"/>
      <c r="AB12" s="82"/>
      <c r="AC12" s="42" t="str">
        <f>AN1</f>
        <v>SERIES A ROUND</v>
      </c>
      <c r="AD12" s="42"/>
      <c r="AE12" s="44"/>
      <c r="AF12" s="60"/>
      <c r="AG12" s="60" t="s">
        <v>21</v>
      </c>
      <c r="AH12" s="96" t="s">
        <v>19</v>
      </c>
      <c r="AI12" s="96" t="s">
        <v>20</v>
      </c>
      <c r="AJ12" s="44"/>
      <c r="AK12" s="44"/>
      <c r="AL12" s="44"/>
      <c r="AM12" s="45"/>
      <c r="AN12" s="49"/>
    </row>
    <row r="13" spans="2:40" ht="16.25" customHeight="1" outlineLevel="1" x14ac:dyDescent="0.2">
      <c r="B13" s="36" t="s">
        <v>22</v>
      </c>
      <c r="C13" s="34"/>
      <c r="D13" s="11"/>
      <c r="E13" s="11" t="s">
        <v>59</v>
      </c>
      <c r="F13" s="11" t="s">
        <v>24</v>
      </c>
      <c r="G13" s="11" t="s">
        <v>32</v>
      </c>
      <c r="H13" s="11" t="s">
        <v>26</v>
      </c>
      <c r="I13" s="69"/>
      <c r="J13" s="13" t="s">
        <v>27</v>
      </c>
      <c r="K13" s="13" t="s">
        <v>28</v>
      </c>
      <c r="L13" s="13" t="s">
        <v>29</v>
      </c>
      <c r="M13" s="13" t="str">
        <f>H13</f>
        <v>% Fully Diluted</v>
      </c>
      <c r="N13" s="64" t="s">
        <v>8</v>
      </c>
      <c r="O13" s="64" t="s">
        <v>30</v>
      </c>
      <c r="P13" s="16" t="s">
        <v>23</v>
      </c>
      <c r="Q13" s="16"/>
      <c r="R13" s="95" t="s">
        <v>28</v>
      </c>
      <c r="S13" s="95" t="s">
        <v>24</v>
      </c>
      <c r="T13" s="16" t="s">
        <v>29</v>
      </c>
      <c r="U13" s="16" t="s">
        <v>31</v>
      </c>
      <c r="V13" s="16" t="s">
        <v>32</v>
      </c>
      <c r="W13" s="16" t="s">
        <v>33</v>
      </c>
      <c r="X13" s="50"/>
      <c r="Y13" s="71" t="s">
        <v>27</v>
      </c>
      <c r="Z13" s="71" t="s">
        <v>28</v>
      </c>
      <c r="AA13" s="71" t="s">
        <v>29</v>
      </c>
      <c r="AB13" s="83" t="str">
        <f>W13</f>
        <v>% FD</v>
      </c>
      <c r="AC13" s="81" t="s">
        <v>8</v>
      </c>
      <c r="AD13" s="81" t="s">
        <v>30</v>
      </c>
      <c r="AE13" s="46" t="s">
        <v>57</v>
      </c>
      <c r="AF13" s="46"/>
      <c r="AG13" s="46" t="s">
        <v>28</v>
      </c>
      <c r="AH13" s="96" t="s">
        <v>28</v>
      </c>
      <c r="AI13" s="96" t="s">
        <v>24</v>
      </c>
      <c r="AJ13" s="46" t="s">
        <v>29</v>
      </c>
      <c r="AK13" s="46" t="s">
        <v>31</v>
      </c>
      <c r="AL13" s="46" t="s">
        <v>32</v>
      </c>
      <c r="AM13" s="47" t="s">
        <v>33</v>
      </c>
      <c r="AN13" s="49"/>
    </row>
    <row r="14" spans="2:40" ht="16.25" customHeight="1" outlineLevel="1" x14ac:dyDescent="0.2">
      <c r="B14" s="85" t="s">
        <v>34</v>
      </c>
      <c r="D14" s="48"/>
      <c r="E14" s="5">
        <v>600000</v>
      </c>
      <c r="F14" s="5"/>
      <c r="G14" s="87">
        <f>E14/$E$23</f>
        <v>0.6</v>
      </c>
      <c r="H14" s="87">
        <f>SUM(E14:F14)/F$27</f>
        <v>0.6</v>
      </c>
      <c r="I14" s="69"/>
      <c r="J14" s="110">
        <f>K14*Q$3</f>
        <v>0</v>
      </c>
      <c r="K14" s="17">
        <f>SUMIF(J$31:J$37,$B14,U$31:U$37)</f>
        <v>0</v>
      </c>
      <c r="L14" s="7">
        <f>SUM(E14:F14,K14)</f>
        <v>600000</v>
      </c>
      <c r="M14" s="32">
        <f>L14/L$27</f>
        <v>0.6</v>
      </c>
      <c r="N14" s="115"/>
      <c r="O14" s="102">
        <f>IF(S$10="YES",N14,Q$3*Q14)</f>
        <v>0</v>
      </c>
      <c r="P14" s="17">
        <f>E14</f>
        <v>600000</v>
      </c>
      <c r="Q14" s="17"/>
      <c r="R14" s="17">
        <f>Q14+K14</f>
        <v>0</v>
      </c>
      <c r="S14" s="62"/>
      <c r="T14" s="7">
        <f>P14+R14</f>
        <v>600000</v>
      </c>
      <c r="U14" s="41">
        <f>IF(R$23=0,0,R14/$R$23)</f>
        <v>0</v>
      </c>
      <c r="V14" s="87">
        <f>(T14)/$T$23</f>
        <v>0.375</v>
      </c>
      <c r="W14" s="87">
        <f ca="1">T14/T$27</f>
        <v>0.33745781777277839</v>
      </c>
      <c r="X14" s="50"/>
      <c r="Y14" s="110">
        <f ca="1">Z14*AF$3</f>
        <v>0</v>
      </c>
      <c r="Z14" s="17">
        <f t="shared" ref="Z14:Z22" si="0">SUMIF(Y$31:Y$37,$B14,AJ$31:AJ$37)</f>
        <v>0</v>
      </c>
      <c r="AA14" s="7">
        <f t="shared" ref="AA14:AA15" si="1">SUM(T14,Z14)</f>
        <v>600000</v>
      </c>
      <c r="AB14" s="87">
        <f ca="1">AA14/AA$27</f>
        <v>0.33745781777277839</v>
      </c>
      <c r="AC14" s="31"/>
      <c r="AD14" s="102">
        <f t="shared" ref="AD14:AD22" si="2">IF(AH$10="YES",AC14,AF$3*AG14)</f>
        <v>0</v>
      </c>
      <c r="AE14" s="17">
        <f>P14</f>
        <v>600000</v>
      </c>
      <c r="AF14" s="56"/>
      <c r="AG14" s="17">
        <f t="shared" ref="AG14:AG22" ca="1" si="3">ROUND(AC14/$AF$3,0)</f>
        <v>0</v>
      </c>
      <c r="AH14" s="17">
        <f t="shared" ref="AH14:AH22" ca="1" si="4">AG14+Z14+AF14</f>
        <v>0</v>
      </c>
      <c r="AI14" s="62"/>
      <c r="AJ14" s="7">
        <f t="shared" ref="AJ14:AJ22" ca="1" si="5">AE14+AH14</f>
        <v>600000</v>
      </c>
      <c r="AK14" s="140">
        <f t="shared" ref="AK14:AK22" ca="1" si="6">IF(AH14,AH14/$AH$23,0)</f>
        <v>0</v>
      </c>
      <c r="AL14" s="87">
        <f t="shared" ref="AL14:AL22" ca="1" si="7">(AJ14)/$AJ$23</f>
        <v>0.23549109902518459</v>
      </c>
      <c r="AM14" s="87">
        <f ca="1">AJ14/AJ$27</f>
        <v>0.2119524957936261</v>
      </c>
      <c r="AN14" s="49"/>
    </row>
    <row r="15" spans="2:40" ht="16.25" customHeight="1" outlineLevel="1" x14ac:dyDescent="0.2">
      <c r="B15" s="85" t="s">
        <v>35</v>
      </c>
      <c r="D15" s="48"/>
      <c r="E15" s="5">
        <v>400000</v>
      </c>
      <c r="F15" s="5"/>
      <c r="G15" s="87">
        <f>E15/$E$23</f>
        <v>0.4</v>
      </c>
      <c r="H15" s="87">
        <f>SUM(E15:F15)/F$27</f>
        <v>0.4</v>
      </c>
      <c r="I15" s="69"/>
      <c r="J15" s="110">
        <f>K15*Q$3</f>
        <v>0</v>
      </c>
      <c r="K15" s="17">
        <f>SUMIF(J$31:J$37,$B15,U$31:U$37)</f>
        <v>0</v>
      </c>
      <c r="L15" s="7">
        <f>SUM(E15:F15,K15)</f>
        <v>400000</v>
      </c>
      <c r="M15" s="32">
        <f>L15/L$27</f>
        <v>0.4</v>
      </c>
      <c r="N15" s="115"/>
      <c r="O15" s="102">
        <f>IF(S$10="YES",N15,Q$3*Q15)</f>
        <v>0</v>
      </c>
      <c r="P15" s="17">
        <f>E15</f>
        <v>400000</v>
      </c>
      <c r="Q15" s="17"/>
      <c r="R15" s="17">
        <f>Q15+K15</f>
        <v>0</v>
      </c>
      <c r="S15" s="62"/>
      <c r="T15" s="7">
        <f>P15+R15</f>
        <v>400000</v>
      </c>
      <c r="U15" s="41">
        <f>IF(R$23=0,0,R15/$R$23)</f>
        <v>0</v>
      </c>
      <c r="V15" s="87">
        <f>(T15)/$T$23</f>
        <v>0.25</v>
      </c>
      <c r="W15" s="87">
        <f ca="1">T15/T$27</f>
        <v>0.2249718785151856</v>
      </c>
      <c r="X15" s="50"/>
      <c r="Y15" s="110">
        <f ca="1">Z15*AF$3</f>
        <v>0</v>
      </c>
      <c r="Z15" s="17">
        <f t="shared" si="0"/>
        <v>0</v>
      </c>
      <c r="AA15" s="7">
        <f t="shared" si="1"/>
        <v>400000</v>
      </c>
      <c r="AB15" s="87">
        <f ca="1">AA15/AA$27</f>
        <v>0.2249718785151856</v>
      </c>
      <c r="AC15" s="31"/>
      <c r="AD15" s="102">
        <f t="shared" si="2"/>
        <v>0</v>
      </c>
      <c r="AE15" s="17">
        <f>P15</f>
        <v>400000</v>
      </c>
      <c r="AF15" s="56"/>
      <c r="AG15" s="17">
        <f t="shared" ca="1" si="3"/>
        <v>0</v>
      </c>
      <c r="AH15" s="17">
        <f t="shared" ca="1" si="4"/>
        <v>0</v>
      </c>
      <c r="AI15" s="62"/>
      <c r="AJ15" s="7">
        <f t="shared" ca="1" si="5"/>
        <v>400000</v>
      </c>
      <c r="AK15" s="140">
        <f t="shared" ca="1" si="6"/>
        <v>0</v>
      </c>
      <c r="AL15" s="87">
        <f t="shared" ca="1" si="7"/>
        <v>0.15699406601678972</v>
      </c>
      <c r="AM15" s="87">
        <f ca="1">AJ15/AJ$27</f>
        <v>0.14130166386241741</v>
      </c>
      <c r="AN15" s="49"/>
    </row>
    <row r="16" spans="2:40" ht="16.25" customHeight="1" outlineLevel="1" x14ac:dyDescent="0.2">
      <c r="B16" s="85" t="s">
        <v>36</v>
      </c>
      <c r="C16"/>
      <c r="D16" s="48"/>
      <c r="E16" s="5"/>
      <c r="F16" s="5"/>
      <c r="G16" s="87">
        <f t="shared" ref="G16:G22" si="8">E16/$E$23</f>
        <v>0</v>
      </c>
      <c r="H16" s="87">
        <f t="shared" ref="H16:H22" si="9">SUM(E16:F16)/F$27</f>
        <v>0</v>
      </c>
      <c r="I16" s="69"/>
      <c r="J16" s="110"/>
      <c r="K16" s="17"/>
      <c r="L16" s="7">
        <f t="shared" ref="L16:L22" si="10">SUM(E16:F16,K16)</f>
        <v>0</v>
      </c>
      <c r="M16" s="32">
        <f t="shared" ref="M16:M22" si="11">L16/L$27</f>
        <v>0</v>
      </c>
      <c r="N16" s="115">
        <v>1500000</v>
      </c>
      <c r="O16" s="102">
        <f>IF(S$10="YES",N16,Q$3*Q16)</f>
        <v>1500000</v>
      </c>
      <c r="P16" s="17">
        <f>ROUND(N16/$Q$3,0)</f>
        <v>600000</v>
      </c>
      <c r="Q16" s="17"/>
      <c r="R16" s="17">
        <f>Q16+K16</f>
        <v>0</v>
      </c>
      <c r="S16" s="62"/>
      <c r="T16" s="7">
        <f>P16+R16</f>
        <v>600000</v>
      </c>
      <c r="U16" s="41"/>
      <c r="V16" s="87">
        <f t="shared" ref="V16:V22" si="12">(T16)/$T$23</f>
        <v>0.375</v>
      </c>
      <c r="W16" s="87">
        <f t="shared" ref="W16:W22" ca="1" si="13">T16/T$27</f>
        <v>0.33745781777277839</v>
      </c>
      <c r="X16" s="50"/>
      <c r="Y16" s="110">
        <f t="shared" ref="Y16:Y22" ca="1" si="14">Z16*AF$3</f>
        <v>0</v>
      </c>
      <c r="Z16" s="17">
        <f t="shared" si="0"/>
        <v>0</v>
      </c>
      <c r="AA16" s="7">
        <f>SUM(T16,Z16)</f>
        <v>600000</v>
      </c>
      <c r="AB16" s="87">
        <f t="shared" ref="AB16:AB22" ca="1" si="15">AA16/AA$27</f>
        <v>0.33745781777277839</v>
      </c>
      <c r="AC16" s="31">
        <v>2000000</v>
      </c>
      <c r="AD16" s="102">
        <f t="shared" si="2"/>
        <v>2000000</v>
      </c>
      <c r="AE16" s="17">
        <f>P16</f>
        <v>600000</v>
      </c>
      <c r="AF16" s="56"/>
      <c r="AG16" s="17">
        <f t="shared" ca="1" si="3"/>
        <v>236967</v>
      </c>
      <c r="AH16" s="17">
        <f t="shared" ca="1" si="4"/>
        <v>236967</v>
      </c>
      <c r="AI16" s="62"/>
      <c r="AJ16" s="7">
        <f t="shared" ca="1" si="5"/>
        <v>836967</v>
      </c>
      <c r="AK16" s="140">
        <f t="shared" ca="1" si="6"/>
        <v>0.25000026375008311</v>
      </c>
      <c r="AL16" s="87">
        <f t="shared" ca="1" si="7"/>
        <v>0.32849713112968615</v>
      </c>
      <c r="AM16" s="87">
        <f t="shared" ref="AM16:AM22" ca="1" si="16">AJ16/AJ$27</f>
        <v>0.29566207424483976</v>
      </c>
      <c r="AN16" s="49"/>
    </row>
    <row r="17" spans="2:40" ht="16.25" customHeight="1" outlineLevel="1" x14ac:dyDescent="0.2">
      <c r="B17" s="85" t="s">
        <v>37</v>
      </c>
      <c r="C17"/>
      <c r="D17" s="48"/>
      <c r="E17" s="5"/>
      <c r="F17" s="5"/>
      <c r="G17" s="87">
        <f t="shared" si="8"/>
        <v>0</v>
      </c>
      <c r="H17" s="87">
        <f t="shared" si="9"/>
        <v>0</v>
      </c>
      <c r="I17" s="69"/>
      <c r="J17" s="110">
        <f>K17*Q$3</f>
        <v>0</v>
      </c>
      <c r="K17" s="17"/>
      <c r="L17" s="7">
        <f t="shared" si="10"/>
        <v>0</v>
      </c>
      <c r="M17" s="32">
        <f t="shared" si="11"/>
        <v>0</v>
      </c>
      <c r="N17" s="115"/>
      <c r="O17" s="102">
        <f t="shared" ref="O17:O22" si="17">IF(S$10="YES",N17,Q$3*Q17)</f>
        <v>0</v>
      </c>
      <c r="P17" s="17">
        <f t="shared" ref="P17:P22" si="18">E17</f>
        <v>0</v>
      </c>
      <c r="Q17" s="17"/>
      <c r="R17" s="17">
        <f t="shared" ref="R17:R22" si="19">Q17+K17</f>
        <v>0</v>
      </c>
      <c r="S17" s="62"/>
      <c r="T17" s="7">
        <f t="shared" ref="T17:T22" si="20">P17+R17</f>
        <v>0</v>
      </c>
      <c r="U17" s="41">
        <f t="shared" ref="U17:U22" si="21">IF(R$23=0,0,R17/$R$23)</f>
        <v>0</v>
      </c>
      <c r="V17" s="87">
        <f t="shared" si="12"/>
        <v>0</v>
      </c>
      <c r="W17" s="87">
        <f t="shared" ca="1" si="13"/>
        <v>0</v>
      </c>
      <c r="X17" s="50"/>
      <c r="Y17" s="110">
        <f t="shared" ca="1" si="14"/>
        <v>0</v>
      </c>
      <c r="Z17" s="17">
        <f t="shared" si="0"/>
        <v>0</v>
      </c>
      <c r="AA17" s="7">
        <f>SUM(T17,Z17)</f>
        <v>0</v>
      </c>
      <c r="AB17" s="87">
        <f t="shared" ca="1" si="15"/>
        <v>0</v>
      </c>
      <c r="AC17" s="6">
        <v>6000000</v>
      </c>
      <c r="AD17" s="102">
        <f t="shared" si="2"/>
        <v>6000000</v>
      </c>
      <c r="AE17" s="17">
        <f t="shared" ref="AE17:AE22" si="22">P17</f>
        <v>0</v>
      </c>
      <c r="AF17" s="56"/>
      <c r="AG17" s="17">
        <f t="shared" ca="1" si="3"/>
        <v>710900</v>
      </c>
      <c r="AH17" s="17">
        <f t="shared" ca="1" si="4"/>
        <v>710900</v>
      </c>
      <c r="AI17" s="62"/>
      <c r="AJ17" s="7">
        <f t="shared" ca="1" si="5"/>
        <v>710900</v>
      </c>
      <c r="AK17" s="140">
        <f t="shared" ca="1" si="6"/>
        <v>0.74999973624991689</v>
      </c>
      <c r="AL17" s="87">
        <f t="shared" ca="1" si="7"/>
        <v>0.27901770382833957</v>
      </c>
      <c r="AM17" s="87">
        <f t="shared" ca="1" si="16"/>
        <v>0.2511283820994813</v>
      </c>
      <c r="AN17" s="49"/>
    </row>
    <row r="18" spans="2:40" ht="16.25" customHeight="1" outlineLevel="1" x14ac:dyDescent="0.2">
      <c r="B18" s="85"/>
      <c r="C18"/>
      <c r="D18" s="48"/>
      <c r="E18" s="5"/>
      <c r="F18" s="5"/>
      <c r="G18" s="87">
        <f t="shared" si="8"/>
        <v>0</v>
      </c>
      <c r="H18" s="87">
        <f t="shared" si="9"/>
        <v>0</v>
      </c>
      <c r="I18" s="69"/>
      <c r="J18" s="110"/>
      <c r="K18" s="17"/>
      <c r="L18" s="7">
        <f t="shared" si="10"/>
        <v>0</v>
      </c>
      <c r="M18" s="32">
        <f t="shared" si="11"/>
        <v>0</v>
      </c>
      <c r="N18" s="115"/>
      <c r="O18" s="102">
        <f t="shared" si="17"/>
        <v>0</v>
      </c>
      <c r="P18" s="17">
        <f t="shared" si="18"/>
        <v>0</v>
      </c>
      <c r="Q18" s="17"/>
      <c r="R18" s="17">
        <f t="shared" si="19"/>
        <v>0</v>
      </c>
      <c r="S18" s="62"/>
      <c r="T18" s="7">
        <f t="shared" si="20"/>
        <v>0</v>
      </c>
      <c r="U18" s="41">
        <f t="shared" si="21"/>
        <v>0</v>
      </c>
      <c r="V18" s="87">
        <f t="shared" si="12"/>
        <v>0</v>
      </c>
      <c r="W18" s="87">
        <f t="shared" ca="1" si="13"/>
        <v>0</v>
      </c>
      <c r="X18" s="50"/>
      <c r="Y18" s="110">
        <f t="shared" ca="1" si="14"/>
        <v>0</v>
      </c>
      <c r="Z18" s="17">
        <f t="shared" si="0"/>
        <v>0</v>
      </c>
      <c r="AA18" s="7">
        <f>SUM(T18,Z18)</f>
        <v>0</v>
      </c>
      <c r="AB18" s="87">
        <f t="shared" ca="1" si="15"/>
        <v>0</v>
      </c>
      <c r="AC18" s="6"/>
      <c r="AD18" s="102">
        <f t="shared" si="2"/>
        <v>0</v>
      </c>
      <c r="AE18" s="17">
        <f t="shared" si="22"/>
        <v>0</v>
      </c>
      <c r="AF18" s="56"/>
      <c r="AG18" s="17">
        <f t="shared" ca="1" si="3"/>
        <v>0</v>
      </c>
      <c r="AH18" s="17">
        <f t="shared" ca="1" si="4"/>
        <v>0</v>
      </c>
      <c r="AI18" s="62"/>
      <c r="AJ18" s="7">
        <f t="shared" ca="1" si="5"/>
        <v>0</v>
      </c>
      <c r="AK18" s="140">
        <f t="shared" ca="1" si="6"/>
        <v>0</v>
      </c>
      <c r="AL18" s="87">
        <f t="shared" ca="1" si="7"/>
        <v>0</v>
      </c>
      <c r="AM18" s="87">
        <f t="shared" ca="1" si="16"/>
        <v>0</v>
      </c>
      <c r="AN18" s="49"/>
    </row>
    <row r="19" spans="2:40" ht="16.25" customHeight="1" outlineLevel="1" x14ac:dyDescent="0.2">
      <c r="B19" s="85"/>
      <c r="C19"/>
      <c r="D19" s="48"/>
      <c r="E19" s="5"/>
      <c r="F19" s="5"/>
      <c r="G19" s="87">
        <f t="shared" si="8"/>
        <v>0</v>
      </c>
      <c r="H19" s="87">
        <f t="shared" si="9"/>
        <v>0</v>
      </c>
      <c r="I19" s="69"/>
      <c r="J19" s="110">
        <f>K19*Q$3</f>
        <v>0</v>
      </c>
      <c r="K19" s="17">
        <f>SUMIF(J$31:J$37,$B19,U$31:U$37)</f>
        <v>0</v>
      </c>
      <c r="L19" s="7">
        <f t="shared" si="10"/>
        <v>0</v>
      </c>
      <c r="M19" s="32">
        <f t="shared" si="11"/>
        <v>0</v>
      </c>
      <c r="N19" s="115"/>
      <c r="O19" s="102">
        <f t="shared" si="17"/>
        <v>0</v>
      </c>
      <c r="P19" s="17">
        <f t="shared" si="18"/>
        <v>0</v>
      </c>
      <c r="Q19" s="17"/>
      <c r="R19" s="17">
        <f t="shared" si="19"/>
        <v>0</v>
      </c>
      <c r="S19" s="62"/>
      <c r="T19" s="7">
        <f t="shared" si="20"/>
        <v>0</v>
      </c>
      <c r="U19" s="41">
        <f t="shared" si="21"/>
        <v>0</v>
      </c>
      <c r="V19" s="87">
        <f t="shared" si="12"/>
        <v>0</v>
      </c>
      <c r="W19" s="87">
        <f t="shared" ca="1" si="13"/>
        <v>0</v>
      </c>
      <c r="X19" s="50"/>
      <c r="Y19" s="110">
        <f t="shared" ca="1" si="14"/>
        <v>0</v>
      </c>
      <c r="Z19" s="17">
        <f t="shared" si="0"/>
        <v>0</v>
      </c>
      <c r="AA19" s="7">
        <f>SUM(T19,Z19)</f>
        <v>0</v>
      </c>
      <c r="AB19" s="87">
        <f t="shared" ca="1" si="15"/>
        <v>0</v>
      </c>
      <c r="AC19" s="6"/>
      <c r="AD19" s="102">
        <f t="shared" si="2"/>
        <v>0</v>
      </c>
      <c r="AE19" s="17">
        <f t="shared" si="22"/>
        <v>0</v>
      </c>
      <c r="AF19" s="56"/>
      <c r="AG19" s="17">
        <f t="shared" ca="1" si="3"/>
        <v>0</v>
      </c>
      <c r="AH19" s="17">
        <f t="shared" ca="1" si="4"/>
        <v>0</v>
      </c>
      <c r="AI19" s="62"/>
      <c r="AJ19" s="7">
        <f t="shared" ca="1" si="5"/>
        <v>0</v>
      </c>
      <c r="AK19" s="140">
        <f t="shared" ca="1" si="6"/>
        <v>0</v>
      </c>
      <c r="AL19" s="87">
        <f t="shared" ca="1" si="7"/>
        <v>0</v>
      </c>
      <c r="AM19" s="87">
        <f t="shared" ca="1" si="16"/>
        <v>0</v>
      </c>
      <c r="AN19" s="49"/>
    </row>
    <row r="20" spans="2:40" ht="16.25" customHeight="1" outlineLevel="1" x14ac:dyDescent="0.2">
      <c r="B20" s="85"/>
      <c r="C20"/>
      <c r="D20" s="48"/>
      <c r="E20" s="5"/>
      <c r="F20" s="5"/>
      <c r="G20" s="87">
        <f t="shared" si="8"/>
        <v>0</v>
      </c>
      <c r="H20" s="87">
        <f t="shared" si="9"/>
        <v>0</v>
      </c>
      <c r="I20" s="69"/>
      <c r="J20" s="110">
        <f>K20*Q$3</f>
        <v>0</v>
      </c>
      <c r="K20" s="17">
        <f>SUMIF(J$31:J$37,$B20,U$31:U$37)</f>
        <v>0</v>
      </c>
      <c r="L20" s="7">
        <f t="shared" si="10"/>
        <v>0</v>
      </c>
      <c r="M20" s="32">
        <f t="shared" si="11"/>
        <v>0</v>
      </c>
      <c r="N20" s="115"/>
      <c r="O20" s="102">
        <f t="shared" si="17"/>
        <v>0</v>
      </c>
      <c r="P20" s="17">
        <f t="shared" si="18"/>
        <v>0</v>
      </c>
      <c r="Q20" s="17"/>
      <c r="R20" s="17">
        <f t="shared" si="19"/>
        <v>0</v>
      </c>
      <c r="S20" s="62"/>
      <c r="T20" s="7">
        <f t="shared" si="20"/>
        <v>0</v>
      </c>
      <c r="U20" s="41">
        <f t="shared" si="21"/>
        <v>0</v>
      </c>
      <c r="V20" s="87">
        <f t="shared" si="12"/>
        <v>0</v>
      </c>
      <c r="W20" s="87">
        <f t="shared" ca="1" si="13"/>
        <v>0</v>
      </c>
      <c r="X20" s="50"/>
      <c r="Y20" s="110">
        <f t="shared" ca="1" si="14"/>
        <v>0</v>
      </c>
      <c r="Z20" s="17">
        <f t="shared" si="0"/>
        <v>0</v>
      </c>
      <c r="AA20" s="7">
        <f t="shared" ref="AA20:AA22" si="23">SUM(T20,Z20)</f>
        <v>0</v>
      </c>
      <c r="AB20" s="87">
        <f t="shared" ca="1" si="15"/>
        <v>0</v>
      </c>
      <c r="AC20" s="6"/>
      <c r="AD20" s="102">
        <f t="shared" si="2"/>
        <v>0</v>
      </c>
      <c r="AE20" s="17">
        <f t="shared" si="22"/>
        <v>0</v>
      </c>
      <c r="AF20" s="56"/>
      <c r="AG20" s="17">
        <f t="shared" ca="1" si="3"/>
        <v>0</v>
      </c>
      <c r="AH20" s="17">
        <f t="shared" ca="1" si="4"/>
        <v>0</v>
      </c>
      <c r="AI20" s="62"/>
      <c r="AJ20" s="7">
        <f t="shared" ca="1" si="5"/>
        <v>0</v>
      </c>
      <c r="AK20" s="140">
        <f t="shared" ca="1" si="6"/>
        <v>0</v>
      </c>
      <c r="AL20" s="87">
        <f t="shared" ca="1" si="7"/>
        <v>0</v>
      </c>
      <c r="AM20" s="87">
        <f t="shared" ca="1" si="16"/>
        <v>0</v>
      </c>
      <c r="AN20" s="49"/>
    </row>
    <row r="21" spans="2:40" ht="16.25" customHeight="1" outlineLevel="1" x14ac:dyDescent="0.2">
      <c r="B21" s="85"/>
      <c r="C21"/>
      <c r="D21" s="48"/>
      <c r="E21" s="5"/>
      <c r="F21" s="5"/>
      <c r="G21" s="87">
        <f t="shared" si="8"/>
        <v>0</v>
      </c>
      <c r="H21" s="87">
        <f t="shared" si="9"/>
        <v>0</v>
      </c>
      <c r="I21" s="69"/>
      <c r="J21" s="110">
        <f>K21*Q$3</f>
        <v>0</v>
      </c>
      <c r="K21" s="17">
        <f>SUMIF(J$31:J$37,$B21,U$31:U$37)</f>
        <v>0</v>
      </c>
      <c r="L21" s="7">
        <f t="shared" si="10"/>
        <v>0</v>
      </c>
      <c r="M21" s="32">
        <f t="shared" si="11"/>
        <v>0</v>
      </c>
      <c r="N21" s="115"/>
      <c r="O21" s="102">
        <f t="shared" si="17"/>
        <v>0</v>
      </c>
      <c r="P21" s="17">
        <f t="shared" si="18"/>
        <v>0</v>
      </c>
      <c r="Q21" s="17"/>
      <c r="R21" s="17">
        <f t="shared" si="19"/>
        <v>0</v>
      </c>
      <c r="S21" s="62"/>
      <c r="T21" s="7">
        <f t="shared" si="20"/>
        <v>0</v>
      </c>
      <c r="U21" s="41">
        <f t="shared" si="21"/>
        <v>0</v>
      </c>
      <c r="V21" s="87">
        <f t="shared" si="12"/>
        <v>0</v>
      </c>
      <c r="W21" s="87">
        <f t="shared" ca="1" si="13"/>
        <v>0</v>
      </c>
      <c r="X21" s="50"/>
      <c r="Y21" s="110">
        <f t="shared" ca="1" si="14"/>
        <v>0</v>
      </c>
      <c r="Z21" s="17">
        <f t="shared" si="0"/>
        <v>0</v>
      </c>
      <c r="AA21" s="7">
        <f t="shared" si="23"/>
        <v>0</v>
      </c>
      <c r="AB21" s="87">
        <f t="shared" ca="1" si="15"/>
        <v>0</v>
      </c>
      <c r="AC21" s="6"/>
      <c r="AD21" s="102">
        <f t="shared" si="2"/>
        <v>0</v>
      </c>
      <c r="AE21" s="17">
        <f t="shared" si="22"/>
        <v>0</v>
      </c>
      <c r="AF21" s="56"/>
      <c r="AG21" s="17">
        <f t="shared" ca="1" si="3"/>
        <v>0</v>
      </c>
      <c r="AH21" s="17">
        <f t="shared" ca="1" si="4"/>
        <v>0</v>
      </c>
      <c r="AI21" s="62"/>
      <c r="AJ21" s="7">
        <f t="shared" ca="1" si="5"/>
        <v>0</v>
      </c>
      <c r="AK21" s="140">
        <f t="shared" ca="1" si="6"/>
        <v>0</v>
      </c>
      <c r="AL21" s="87">
        <f t="shared" ca="1" si="7"/>
        <v>0</v>
      </c>
      <c r="AM21" s="87">
        <f t="shared" ca="1" si="16"/>
        <v>0</v>
      </c>
      <c r="AN21" s="49"/>
    </row>
    <row r="22" spans="2:40" ht="16.25" customHeight="1" outlineLevel="1" thickBot="1" x14ac:dyDescent="0.25">
      <c r="B22" s="85"/>
      <c r="D22" s="48"/>
      <c r="E22" s="5"/>
      <c r="F22" s="5"/>
      <c r="G22" s="87">
        <f t="shared" si="8"/>
        <v>0</v>
      </c>
      <c r="H22" s="87">
        <f t="shared" si="9"/>
        <v>0</v>
      </c>
      <c r="I22" s="69"/>
      <c r="J22" s="110">
        <f>K22*Q$3</f>
        <v>0</v>
      </c>
      <c r="K22" s="17">
        <f>SUMIF(J$31:J$37,$B22,U$31:U$37)</f>
        <v>0</v>
      </c>
      <c r="L22" s="7">
        <f t="shared" si="10"/>
        <v>0</v>
      </c>
      <c r="M22" s="32">
        <f t="shared" si="11"/>
        <v>0</v>
      </c>
      <c r="N22" s="115"/>
      <c r="O22" s="102">
        <f t="shared" si="17"/>
        <v>0</v>
      </c>
      <c r="P22" s="17">
        <f t="shared" si="18"/>
        <v>0</v>
      </c>
      <c r="Q22" s="17"/>
      <c r="R22" s="17">
        <f t="shared" si="19"/>
        <v>0</v>
      </c>
      <c r="S22" s="62"/>
      <c r="T22" s="7">
        <f t="shared" si="20"/>
        <v>0</v>
      </c>
      <c r="U22" s="41">
        <f t="shared" si="21"/>
        <v>0</v>
      </c>
      <c r="V22" s="87">
        <f t="shared" si="12"/>
        <v>0</v>
      </c>
      <c r="W22" s="87">
        <f t="shared" ca="1" si="13"/>
        <v>0</v>
      </c>
      <c r="X22" s="50"/>
      <c r="Y22" s="110">
        <f t="shared" ca="1" si="14"/>
        <v>0</v>
      </c>
      <c r="Z22" s="17">
        <f t="shared" si="0"/>
        <v>0</v>
      </c>
      <c r="AA22" s="7">
        <f t="shared" si="23"/>
        <v>0</v>
      </c>
      <c r="AB22" s="87">
        <f t="shared" ca="1" si="15"/>
        <v>0</v>
      </c>
      <c r="AC22" s="31"/>
      <c r="AD22" s="102">
        <f t="shared" si="2"/>
        <v>0</v>
      </c>
      <c r="AE22" s="17">
        <f t="shared" si="22"/>
        <v>0</v>
      </c>
      <c r="AF22" s="56"/>
      <c r="AG22" s="17">
        <f t="shared" ca="1" si="3"/>
        <v>0</v>
      </c>
      <c r="AH22" s="17">
        <f t="shared" ca="1" si="4"/>
        <v>0</v>
      </c>
      <c r="AI22" s="62"/>
      <c r="AJ22" s="7">
        <f t="shared" ca="1" si="5"/>
        <v>0</v>
      </c>
      <c r="AK22" s="140">
        <f t="shared" ca="1" si="6"/>
        <v>0</v>
      </c>
      <c r="AL22" s="87">
        <f t="shared" ca="1" si="7"/>
        <v>0</v>
      </c>
      <c r="AM22" s="87">
        <f t="shared" ca="1" si="16"/>
        <v>0</v>
      </c>
      <c r="AN22" s="49"/>
    </row>
    <row r="23" spans="2:40" ht="16.25" customHeight="1" outlineLevel="1" thickTop="1" thickBot="1" x14ac:dyDescent="0.25">
      <c r="B23" s="20" t="s">
        <v>38</v>
      </c>
      <c r="C23" s="20"/>
      <c r="D23" s="21"/>
      <c r="E23" s="21">
        <f>SUM(E14:E22)</f>
        <v>1000000</v>
      </c>
      <c r="F23" s="21">
        <f>SUM(F14:F22)</f>
        <v>0</v>
      </c>
      <c r="G23" s="70">
        <f>SUM(G14:G22)</f>
        <v>1</v>
      </c>
      <c r="H23" s="70">
        <f>SUM(H14:H22)</f>
        <v>1</v>
      </c>
      <c r="I23" s="69"/>
      <c r="J23" s="109">
        <f>SUM(J14:J22)</f>
        <v>0</v>
      </c>
      <c r="K23" s="21">
        <f>SUM(K14:K22)</f>
        <v>0</v>
      </c>
      <c r="L23" s="21">
        <f>SUM(L14:L22)</f>
        <v>1000000</v>
      </c>
      <c r="M23" s="39">
        <f>SUM(M14:M22)</f>
        <v>1</v>
      </c>
      <c r="N23" s="116">
        <f>SUM(N14:N22)</f>
        <v>1500000</v>
      </c>
      <c r="O23" s="21"/>
      <c r="P23" s="21">
        <f>SUM(P14:P22)</f>
        <v>1600000</v>
      </c>
      <c r="Q23" s="21"/>
      <c r="R23" s="21">
        <f>SUM(R14:R22)</f>
        <v>0</v>
      </c>
      <c r="S23" s="21"/>
      <c r="T23" s="21">
        <f>SUM(T14:T22)</f>
        <v>1600000</v>
      </c>
      <c r="U23" s="40">
        <f>SUM(U14:U22)</f>
        <v>0</v>
      </c>
      <c r="V23" s="70">
        <f>SUM(V14:V22)</f>
        <v>1</v>
      </c>
      <c r="W23" s="70">
        <f ca="1">SUM(W14:W22)</f>
        <v>0.89988751406074241</v>
      </c>
      <c r="X23" s="50"/>
      <c r="Y23" s="21">
        <f t="shared" ref="Y23:AH23" ca="1" si="24">SUM(Y14:Y22)</f>
        <v>0</v>
      </c>
      <c r="Z23" s="21">
        <f t="shared" si="24"/>
        <v>0</v>
      </c>
      <c r="AA23" s="21">
        <f t="shared" si="24"/>
        <v>1600000</v>
      </c>
      <c r="AB23" s="142">
        <f t="shared" ca="1" si="24"/>
        <v>0.89988751406074241</v>
      </c>
      <c r="AC23" s="21">
        <f t="shared" si="24"/>
        <v>8000000</v>
      </c>
      <c r="AD23" s="21">
        <f t="shared" si="24"/>
        <v>8000000</v>
      </c>
      <c r="AE23" s="21">
        <f t="shared" si="24"/>
        <v>1600000</v>
      </c>
      <c r="AF23" s="21"/>
      <c r="AG23" s="21">
        <f t="shared" ca="1" si="24"/>
        <v>947867</v>
      </c>
      <c r="AH23" s="21">
        <f t="shared" ca="1" si="24"/>
        <v>947867</v>
      </c>
      <c r="AI23" s="21"/>
      <c r="AJ23" s="21">
        <f ca="1">SUM(AJ14:AJ22)</f>
        <v>2547867</v>
      </c>
      <c r="AK23" s="70">
        <f ca="1">SUM(AK14:AK22)</f>
        <v>1</v>
      </c>
      <c r="AL23" s="70">
        <f ca="1">SUM(AL14:AL22)</f>
        <v>1</v>
      </c>
      <c r="AM23" s="142">
        <f ca="1">SUM(AM14:AM22)</f>
        <v>0.90004461600036456</v>
      </c>
      <c r="AN23" s="49"/>
    </row>
    <row r="24" spans="2:40" ht="16.25" customHeight="1" outlineLevel="1" thickTop="1" x14ac:dyDescent="0.2">
      <c r="B24" s="2"/>
      <c r="C24" s="2"/>
      <c r="D24" s="84"/>
      <c r="E24" s="84"/>
      <c r="F24" s="84"/>
      <c r="G24" s="87"/>
      <c r="H24" s="87"/>
      <c r="I24" s="69"/>
      <c r="J24" s="84"/>
      <c r="K24" s="84"/>
      <c r="L24" s="84"/>
      <c r="M24" s="86"/>
      <c r="N24" s="117"/>
      <c r="O24" s="84"/>
      <c r="P24" s="84"/>
      <c r="Q24" s="84"/>
      <c r="R24" s="84"/>
      <c r="S24" s="84"/>
      <c r="T24" s="84"/>
      <c r="U24" s="32"/>
      <c r="V24" s="87"/>
      <c r="W24" s="87"/>
      <c r="X24" s="50"/>
      <c r="Y24" s="84"/>
      <c r="Z24" s="84"/>
      <c r="AA24" s="84"/>
      <c r="AB24" s="143"/>
      <c r="AC24" s="84"/>
      <c r="AD24" s="84"/>
      <c r="AE24" s="84"/>
      <c r="AF24" s="84"/>
      <c r="AG24" s="84"/>
      <c r="AH24" s="84"/>
      <c r="AI24" s="84"/>
      <c r="AJ24" s="84"/>
      <c r="AK24" s="87"/>
      <c r="AL24" s="87"/>
      <c r="AM24" s="143"/>
      <c r="AN24" s="49"/>
    </row>
    <row r="25" spans="2:40" ht="16.25" customHeight="1" outlineLevel="1" x14ac:dyDescent="0.2">
      <c r="B25" s="85" t="s">
        <v>62</v>
      </c>
      <c r="C25"/>
      <c r="D25" s="63"/>
      <c r="F25" s="5"/>
      <c r="G25" s="138">
        <f>E25/$E$23</f>
        <v>0</v>
      </c>
      <c r="H25" s="138">
        <f>SUM(E25:F25)/F$27</f>
        <v>0</v>
      </c>
      <c r="I25" s="69"/>
      <c r="J25" s="63"/>
      <c r="K25" s="17"/>
      <c r="L25" s="7"/>
      <c r="M25" s="19">
        <f>L25/L$27</f>
        <v>0</v>
      </c>
      <c r="N25" s="118"/>
      <c r="O25" s="17"/>
      <c r="P25" s="17"/>
      <c r="Q25" s="17"/>
      <c r="R25" s="17"/>
      <c r="S25" s="17">
        <f ca="1">IFERROR(MAX(0,ROUND(O10*T27-F25,0)),0)</f>
        <v>178000</v>
      </c>
      <c r="T25" s="7">
        <f ca="1">S25+L25</f>
        <v>178000</v>
      </c>
      <c r="U25" s="41"/>
      <c r="V25" s="87"/>
      <c r="W25" s="138">
        <f ca="1">T25/T$27</f>
        <v>0.10011248593925759</v>
      </c>
      <c r="X25" s="50"/>
      <c r="Y25" s="63"/>
      <c r="Z25" s="17"/>
      <c r="AA25" s="7">
        <f ca="1">SUM(T25,Z25)</f>
        <v>178000</v>
      </c>
      <c r="AB25" s="141">
        <f ca="1">AA25/AA$27</f>
        <v>0.10011248593925759</v>
      </c>
      <c r="AC25" s="84"/>
      <c r="AD25" s="84"/>
      <c r="AE25" s="17"/>
      <c r="AF25" s="56"/>
      <c r="AG25" s="17"/>
      <c r="AH25" s="17"/>
      <c r="AI25" s="17">
        <f ca="1">IFERROR(MAX(0,ROUND(AD10*AJ27-AA25,0)),0)</f>
        <v>104956</v>
      </c>
      <c r="AJ25" s="7">
        <f ca="1">T25+AI25</f>
        <v>282956</v>
      </c>
      <c r="AK25" s="140"/>
      <c r="AL25" s="87"/>
      <c r="AM25" s="141">
        <f ca="1">AJ25/AJ$27</f>
        <v>9.9955383999635439E-2</v>
      </c>
      <c r="AN25" s="49"/>
    </row>
    <row r="26" spans="2:40" ht="16.25" customHeight="1" outlineLevel="1" x14ac:dyDescent="0.2">
      <c r="I26" s="69"/>
      <c r="J26" s="63"/>
      <c r="K26" s="17"/>
      <c r="L26" s="7"/>
      <c r="M26" s="19"/>
      <c r="N26" s="118"/>
      <c r="O26" s="17"/>
      <c r="P26" s="17"/>
      <c r="Q26" s="17"/>
      <c r="R26" s="17"/>
      <c r="S26" s="17"/>
      <c r="T26" s="7"/>
      <c r="U26" s="41"/>
      <c r="V26" s="87"/>
      <c r="W26" s="138"/>
      <c r="X26" s="50"/>
      <c r="Y26" s="63"/>
      <c r="Z26" s="17"/>
      <c r="AA26" s="7"/>
      <c r="AB26" s="141"/>
      <c r="AC26" s="17"/>
      <c r="AD26" s="17"/>
      <c r="AE26" s="17"/>
      <c r="AF26" s="56"/>
      <c r="AG26" s="17"/>
      <c r="AH26" s="17"/>
      <c r="AI26" s="17"/>
      <c r="AJ26" s="7"/>
      <c r="AK26" s="140"/>
      <c r="AL26" s="87"/>
      <c r="AM26" s="141"/>
      <c r="AN26" s="49"/>
    </row>
    <row r="27" spans="2:40" ht="16.25" customHeight="1" outlineLevel="1" thickBot="1" x14ac:dyDescent="0.25">
      <c r="B27" s="68" t="s">
        <v>39</v>
      </c>
      <c r="C27" s="68"/>
      <c r="D27" s="68"/>
      <c r="E27" s="88"/>
      <c r="F27" s="89">
        <f>E23+F25</f>
        <v>1000000</v>
      </c>
      <c r="G27" s="88"/>
      <c r="H27" s="93">
        <f>H23+H25</f>
        <v>1</v>
      </c>
      <c r="I27" s="69"/>
      <c r="J27" s="90"/>
      <c r="K27" s="88"/>
      <c r="L27" s="88">
        <f>L23+L25</f>
        <v>1000000</v>
      </c>
      <c r="M27" s="105">
        <f>M23+M25</f>
        <v>1</v>
      </c>
      <c r="N27" s="119"/>
      <c r="O27" s="90"/>
      <c r="P27" s="88"/>
      <c r="Q27" s="88"/>
      <c r="R27" s="88"/>
      <c r="S27" s="91">
        <f ca="1">S25/T27</f>
        <v>0.10011248593925759</v>
      </c>
      <c r="T27" s="88">
        <f ca="1">T23+T25</f>
        <v>1778000</v>
      </c>
      <c r="U27" s="88"/>
      <c r="V27" s="139"/>
      <c r="W27" s="139">
        <f ca="1">(T23+T25)/T27</f>
        <v>1</v>
      </c>
      <c r="X27" s="50"/>
      <c r="Y27" s="90"/>
      <c r="Z27" s="88"/>
      <c r="AA27" s="88">
        <f ca="1">AA23+AA25</f>
        <v>1778000</v>
      </c>
      <c r="AB27" s="144">
        <f ca="1">AB23+AB25</f>
        <v>1</v>
      </c>
      <c r="AC27" s="92"/>
      <c r="AD27" s="92"/>
      <c r="AE27" s="88"/>
      <c r="AF27" s="88"/>
      <c r="AG27" s="88"/>
      <c r="AH27" s="88"/>
      <c r="AI27" s="91"/>
      <c r="AJ27" s="88">
        <f ca="1">AJ23+AJ25</f>
        <v>2830823</v>
      </c>
      <c r="AK27" s="139"/>
      <c r="AL27" s="139"/>
      <c r="AM27" s="144">
        <f ca="1">($AJ$25+$AJ$23)/AJ27</f>
        <v>1</v>
      </c>
      <c r="AN27" s="49"/>
    </row>
    <row r="28" spans="2:40" ht="11.75" customHeight="1" thickTop="1" x14ac:dyDescent="0.2">
      <c r="I28" s="69"/>
      <c r="W28"/>
      <c r="X28" s="50"/>
      <c r="AM28" s="54"/>
      <c r="AN28" s="49"/>
    </row>
    <row r="29" spans="2:40" ht="16.25" customHeight="1" outlineLevel="1" x14ac:dyDescent="0.2">
      <c r="I29" s="69"/>
      <c r="J29" s="37" t="s">
        <v>40</v>
      </c>
      <c r="K29" s="37"/>
      <c r="L29" s="37" t="s">
        <v>41</v>
      </c>
      <c r="M29" s="38"/>
      <c r="N29" s="37"/>
      <c r="O29" s="37"/>
      <c r="P29" s="37"/>
      <c r="Q29" s="37"/>
      <c r="R29" s="65"/>
      <c r="S29" s="65"/>
      <c r="T29" s="65"/>
      <c r="U29" s="65"/>
      <c r="W29"/>
      <c r="X29" s="50"/>
      <c r="Y29" s="71" t="s">
        <v>40</v>
      </c>
      <c r="Z29" s="71"/>
      <c r="AA29" s="71" t="s">
        <v>41</v>
      </c>
      <c r="AB29" s="72"/>
      <c r="AC29" s="71"/>
      <c r="AD29" s="71"/>
      <c r="AE29" s="71"/>
      <c r="AF29" s="71"/>
      <c r="AG29" s="71"/>
      <c r="AH29" s="71"/>
      <c r="AI29" s="71"/>
      <c r="AJ29" s="71"/>
      <c r="AK29"/>
      <c r="AL29"/>
      <c r="AM29"/>
      <c r="AN29" s="49"/>
    </row>
    <row r="30" spans="2:40" ht="16.25" customHeight="1" outlineLevel="1" x14ac:dyDescent="0.2">
      <c r="D30" s="149" t="s">
        <v>61</v>
      </c>
      <c r="E30" s="150"/>
      <c r="F30" s="150"/>
      <c r="G30" s="151"/>
      <c r="I30" s="69"/>
      <c r="J30" s="37" t="s">
        <v>42</v>
      </c>
      <c r="K30" s="65" t="s">
        <v>43</v>
      </c>
      <c r="L30" s="65" t="s">
        <v>58</v>
      </c>
      <c r="M30" s="65" t="s">
        <v>45</v>
      </c>
      <c r="N30" s="65" t="s">
        <v>46</v>
      </c>
      <c r="O30" s="65" t="s">
        <v>47</v>
      </c>
      <c r="P30" s="65" t="s">
        <v>48</v>
      </c>
      <c r="Q30" s="65" t="s">
        <v>49</v>
      </c>
      <c r="R30" s="65" t="s">
        <v>50</v>
      </c>
      <c r="S30" s="65" t="s">
        <v>51</v>
      </c>
      <c r="T30" s="65" t="s">
        <v>52</v>
      </c>
      <c r="U30" s="65" t="s">
        <v>53</v>
      </c>
      <c r="W30"/>
      <c r="X30" s="50"/>
      <c r="Y30" s="71" t="s">
        <v>42</v>
      </c>
      <c r="Z30" s="71" t="s">
        <v>43</v>
      </c>
      <c r="AA30" s="71" t="s">
        <v>44</v>
      </c>
      <c r="AB30" s="71" t="s">
        <v>45</v>
      </c>
      <c r="AC30" s="71" t="s">
        <v>46</v>
      </c>
      <c r="AD30" s="71" t="s">
        <v>47</v>
      </c>
      <c r="AE30" s="71" t="s">
        <v>48</v>
      </c>
      <c r="AF30" s="71" t="s">
        <v>49</v>
      </c>
      <c r="AG30" s="71" t="s">
        <v>50</v>
      </c>
      <c r="AH30" s="71" t="s">
        <v>51</v>
      </c>
      <c r="AI30" s="71" t="s">
        <v>52</v>
      </c>
      <c r="AJ30" s="71" t="s">
        <v>53</v>
      </c>
      <c r="AK30"/>
      <c r="AL30"/>
      <c r="AM30"/>
      <c r="AN30" s="49"/>
    </row>
    <row r="31" spans="2:40" ht="16.25" customHeight="1" outlineLevel="1" x14ac:dyDescent="0.2">
      <c r="D31" s="152" t="s">
        <v>64</v>
      </c>
      <c r="E31" s="153"/>
      <c r="F31" s="153"/>
      <c r="G31" s="154"/>
      <c r="I31" s="69"/>
      <c r="J31" s="85"/>
      <c r="K31" s="75">
        <v>0</v>
      </c>
      <c r="L31" s="76"/>
      <c r="M31" s="77"/>
      <c r="N31" s="73"/>
      <c r="O31" s="29">
        <f ca="1">(1+L31/365)^_xlfn.DAYS(IF(N31,N31,TODAY()),M31)*K31</f>
        <v>0</v>
      </c>
      <c r="P31" s="107"/>
      <c r="Q31" s="108"/>
      <c r="R31" s="111"/>
      <c r="S31" s="111"/>
      <c r="T31" s="111">
        <f>MIN(R31,S31)</f>
        <v>0</v>
      </c>
      <c r="U31" s="113">
        <f>IF(  OR(N31=0,T31=0),  0,  ROUND(O31/T31,0)  )</f>
        <v>0</v>
      </c>
      <c r="W31"/>
      <c r="X31" s="50"/>
      <c r="Y31" s="85"/>
      <c r="Z31" s="75"/>
      <c r="AA31" s="76"/>
      <c r="AB31" s="77"/>
      <c r="AC31" s="28"/>
      <c r="AD31" s="29">
        <f>(1+AA31/365)^_xlfn.DAYS(AC31,AB31)*Z31</f>
        <v>0</v>
      </c>
      <c r="AE31" s="78"/>
      <c r="AF31" s="108"/>
      <c r="AG31" s="111"/>
      <c r="AH31" s="111"/>
      <c r="AI31" s="111"/>
      <c r="AJ31" s="113">
        <f t="shared" ref="AJ31" si="25">IF(  OR(AC31=0,AI31=0),  0,  ROUND(AD31/AI31,0)  )</f>
        <v>0</v>
      </c>
      <c r="AK31"/>
      <c r="AL31"/>
      <c r="AM31"/>
      <c r="AN31" s="49"/>
    </row>
    <row r="32" spans="2:40" ht="16.25" customHeight="1" outlineLevel="1" x14ac:dyDescent="0.2">
      <c r="D32" s="155" t="s">
        <v>63</v>
      </c>
      <c r="E32" s="156"/>
      <c r="F32" s="156"/>
      <c r="G32" s="157"/>
      <c r="I32" s="69"/>
      <c r="J32" s="85"/>
      <c r="K32" s="75">
        <v>0</v>
      </c>
      <c r="L32" s="76"/>
      <c r="M32" s="77"/>
      <c r="N32" s="73"/>
      <c r="O32" s="29">
        <f ca="1">(1+L32/365)^_xlfn.DAYS(IF(N32,N32,TODAY()),M32)*K32</f>
        <v>0</v>
      </c>
      <c r="P32" s="107"/>
      <c r="Q32" s="108"/>
      <c r="R32" s="111"/>
      <c r="S32" s="111"/>
      <c r="T32" s="111">
        <f>MIN(R32,S32)</f>
        <v>0</v>
      </c>
      <c r="U32" s="113">
        <f>IF(  OR(N32=0,T32=0),  0,  ROUND(O32/T32,0)  )</f>
        <v>0</v>
      </c>
      <c r="W32"/>
      <c r="X32" s="50"/>
      <c r="Y32" s="85"/>
      <c r="Z32" s="75"/>
      <c r="AA32" s="76"/>
      <c r="AB32" s="77"/>
      <c r="AC32" s="28"/>
      <c r="AD32" s="29">
        <f>(1+AA32/365)^_xlfn.DAYS(AC32,AB32)*Z32</f>
        <v>0</v>
      </c>
      <c r="AE32" s="78"/>
      <c r="AF32" s="108"/>
      <c r="AG32" s="57">
        <f t="shared" ref="AG32" si="26">AD32/(1-AE32)</f>
        <v>0</v>
      </c>
      <c r="AI32"/>
      <c r="AJ32"/>
      <c r="AK32"/>
      <c r="AL32"/>
      <c r="AM32"/>
      <c r="AN32" s="49"/>
    </row>
    <row r="33" spans="9:40" ht="16.25" customHeight="1" outlineLevel="1" thickBot="1" x14ac:dyDescent="0.25">
      <c r="I33" s="69"/>
      <c r="J33" s="101" t="s">
        <v>19</v>
      </c>
      <c r="K33" s="97">
        <f>SUM(K31:K32)</f>
        <v>0</v>
      </c>
      <c r="L33" s="98"/>
      <c r="M33" s="98"/>
      <c r="N33" s="98"/>
      <c r="O33" s="99">
        <f ca="1">SUM(O31:O32)</f>
        <v>0</v>
      </c>
      <c r="P33" s="100"/>
      <c r="Q33" s="99"/>
      <c r="R33" s="112"/>
      <c r="S33" s="112"/>
      <c r="T33" s="112"/>
      <c r="U33" s="114">
        <f>U31+U32</f>
        <v>0</v>
      </c>
      <c r="W33"/>
      <c r="X33" s="50"/>
      <c r="Y33" s="80" t="s">
        <v>19</v>
      </c>
      <c r="Z33" s="67">
        <f>SUM(Z31:Z32)</f>
        <v>0</v>
      </c>
      <c r="AA33" s="68"/>
      <c r="AB33" s="68"/>
      <c r="AC33" s="68"/>
      <c r="AD33" s="67">
        <f>SUM(AD31:AD32)</f>
        <v>0</v>
      </c>
      <c r="AE33" s="67"/>
      <c r="AF33" s="67"/>
      <c r="AG33" s="67"/>
      <c r="AH33" s="67"/>
      <c r="AI33" s="67"/>
      <c r="AJ33" s="67">
        <f>SUM(AJ31:AJ32)</f>
        <v>0</v>
      </c>
      <c r="AK33"/>
      <c r="AL33"/>
      <c r="AM33"/>
      <c r="AN33" s="49"/>
    </row>
    <row r="34" spans="9:40" ht="16.25" customHeight="1" outlineLevel="1" thickTop="1" x14ac:dyDescent="0.2">
      <c r="I34" s="69"/>
      <c r="W34"/>
      <c r="X34" s="50"/>
      <c r="AN34" s="49"/>
    </row>
    <row r="35" spans="9:40" x14ac:dyDescent="0.2">
      <c r="I35" s="69"/>
      <c r="W35"/>
      <c r="X35" s="50"/>
      <c r="AN35" s="49"/>
    </row>
    <row r="36" spans="9:40" x14ac:dyDescent="0.2">
      <c r="I36" s="69"/>
      <c r="X36" s="50"/>
      <c r="AN36" s="49"/>
    </row>
    <row r="37" spans="9:40" x14ac:dyDescent="0.2">
      <c r="I37" s="69"/>
      <c r="X37" s="50"/>
      <c r="AN37" s="49"/>
    </row>
    <row r="38" spans="9:40" x14ac:dyDescent="0.2">
      <c r="I38" s="69"/>
      <c r="X38" s="50"/>
      <c r="AN38" s="49"/>
    </row>
    <row r="39" spans="9:40" x14ac:dyDescent="0.2">
      <c r="I39" s="69"/>
      <c r="X39" s="50"/>
      <c r="AN39" s="49"/>
    </row>
    <row r="40" spans="9:40" x14ac:dyDescent="0.2">
      <c r="I40" s="69"/>
      <c r="X40" s="50"/>
      <c r="AN40" s="49"/>
    </row>
    <row r="41" spans="9:40" ht="15" customHeight="1" x14ac:dyDescent="0.2">
      <c r="I41" s="69"/>
      <c r="X41" s="50"/>
      <c r="AN41" s="49"/>
    </row>
    <row r="42" spans="9:40" x14ac:dyDescent="0.2">
      <c r="I42" s="63"/>
    </row>
    <row r="43" spans="9:40" x14ac:dyDescent="0.2">
      <c r="I43" s="63"/>
    </row>
    <row r="44" spans="9:40" x14ac:dyDescent="0.2">
      <c r="I44" s="63"/>
    </row>
    <row r="45" spans="9:40" x14ac:dyDescent="0.2">
      <c r="I45" s="63"/>
    </row>
    <row r="46" spans="9:40" x14ac:dyDescent="0.2">
      <c r="I46" s="63"/>
      <c r="J46" s="63"/>
      <c r="K46" s="63"/>
      <c r="L46" s="63"/>
      <c r="M46" s="63"/>
    </row>
    <row r="47" spans="9:40" x14ac:dyDescent="0.2">
      <c r="I47" s="63"/>
      <c r="J47" s="63"/>
      <c r="K47" s="63"/>
      <c r="L47" s="63"/>
      <c r="M47" s="63"/>
    </row>
    <row r="48" spans="9:40" x14ac:dyDescent="0.2">
      <c r="I48" s="63"/>
      <c r="J48" s="63"/>
      <c r="K48" s="63"/>
      <c r="L48" s="63"/>
      <c r="M48" s="63"/>
    </row>
    <row r="49" spans="9:13" x14ac:dyDescent="0.2">
      <c r="I49" s="63"/>
      <c r="J49" s="63"/>
      <c r="K49" s="63"/>
      <c r="L49" s="63"/>
      <c r="M49" s="63"/>
    </row>
    <row r="50" spans="9:13" x14ac:dyDescent="0.2">
      <c r="I50" s="63"/>
      <c r="J50" s="63"/>
      <c r="K50" s="63"/>
      <c r="L50" s="63"/>
      <c r="M50" s="63"/>
    </row>
  </sheetData>
  <mergeCells count="20">
    <mergeCell ref="AN1:AN10"/>
    <mergeCell ref="AH7:AI7"/>
    <mergeCell ref="X1:X10"/>
    <mergeCell ref="S7:T7"/>
    <mergeCell ref="S9:T9"/>
    <mergeCell ref="S10:T10"/>
    <mergeCell ref="AH9:AI9"/>
    <mergeCell ref="AH10:AI10"/>
    <mergeCell ref="AH4:AI4"/>
    <mergeCell ref="AH6:AI6"/>
    <mergeCell ref="S2:T3"/>
    <mergeCell ref="AH2:AI3"/>
    <mergeCell ref="I1:I10"/>
    <mergeCell ref="D30:G30"/>
    <mergeCell ref="D31:G31"/>
    <mergeCell ref="D32:G32"/>
    <mergeCell ref="B2:B4"/>
    <mergeCell ref="S4:T4"/>
    <mergeCell ref="S6:T6"/>
    <mergeCell ref="D6:F10"/>
  </mergeCells>
  <conditionalFormatting sqref="K42:K50">
    <cfRule type="expression" dxfId="3" priority="2">
      <formula>VLOOKUP($K$41,$J$31:$S$36,9,FALSE)="NO"</formula>
    </cfRule>
  </conditionalFormatting>
  <conditionalFormatting sqref="L42:L50">
    <cfRule type="expression" dxfId="2" priority="1">
      <formula>VLOOKUP($K$41,$J$31:$S$36,9,FALSE)="YES"</formula>
    </cfRule>
  </conditionalFormatting>
  <conditionalFormatting sqref="Q3 AF3">
    <cfRule type="expression" dxfId="1" priority="5">
      <formula>Q3&lt;&gt;Q$3</formula>
    </cfRule>
  </conditionalFormatting>
  <dataValidations count="3">
    <dataValidation type="list" allowBlank="1" showInputMessage="1" showErrorMessage="1" sqref="S4 AH4" xr:uid="{019D150F-45FD-4594-A2B6-2A8FE3B14FA6}">
      <formula1>"Pre,Post"</formula1>
    </dataValidation>
    <dataValidation type="list" allowBlank="1" showInputMessage="1" showErrorMessage="1" sqref="O9 S7 AH7 AD9 S10 AH10" xr:uid="{F670112A-D1B4-4F83-A92D-2229EBB985DA}">
      <formula1>"YES,NO"</formula1>
    </dataValidation>
    <dataValidation type="list" allowBlank="1" showInputMessage="1" showErrorMessage="1" sqref="J31:J32 Y31:Y32 J34:J36" xr:uid="{1392D249-DAF1-4E79-BB10-5273B9714509}">
      <formula1>$B$14:$B$22</formula1>
    </dataValidation>
  </dataValidations>
  <pageMargins left="0.70866141732283472" right="0.70866141732283472" top="0.74803149606299213" bottom="0.74803149606299213" header="0.31496062992125984" footer="0.31496062992125984"/>
  <pageSetup paperSize="9" orientation="landscape" r:id="rId1"/>
  <headerFooter>
    <oddHeader>&amp;F</oddHeader>
  </headerFooter>
  <ignoredErrors>
    <ignoredError sqref="P16"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BAEF-2273-4F31-8281-A2B7AA120978}">
  <sheetPr>
    <tabColor rgb="FF0070C0"/>
  </sheetPr>
  <dimension ref="A1:S28"/>
  <sheetViews>
    <sheetView zoomScale="85" zoomScaleNormal="85" workbookViewId="0">
      <selection activeCell="P5" sqref="P5"/>
    </sheetView>
  </sheetViews>
  <sheetFormatPr baseColWidth="10" defaultColWidth="8.83203125" defaultRowHeight="16" outlineLevelCol="1" x14ac:dyDescent="0.2"/>
  <cols>
    <col min="1" max="1" width="1.1640625" style="1" customWidth="1"/>
    <col min="2" max="2" width="18.6640625" style="1" bestFit="1" customWidth="1"/>
    <col min="3" max="3" width="1.1640625" style="1" customWidth="1"/>
    <col min="4" max="4" width="13.5" style="1" bestFit="1" customWidth="1" outlineLevel="1"/>
    <col min="5" max="5" width="15.1640625" style="1" customWidth="1" outlineLevel="1"/>
    <col min="6" max="6" width="13" style="1" customWidth="1" outlineLevel="1"/>
    <col min="7" max="7" width="1.1640625" style="1" customWidth="1" outlineLevel="1"/>
    <col min="8" max="8" width="18.33203125" style="1" bestFit="1" customWidth="1" outlineLevel="1"/>
    <col min="9" max="9" width="12.33203125" bestFit="1" customWidth="1"/>
    <col min="10" max="10" width="9.6640625" bestFit="1" customWidth="1"/>
    <col min="11" max="11" width="8.5" bestFit="1" customWidth="1"/>
    <col min="12" max="12" width="1.6640625" customWidth="1"/>
    <col min="13" max="13" width="11.33203125" bestFit="1" customWidth="1"/>
    <col min="14" max="14" width="12.5" bestFit="1" customWidth="1"/>
    <col min="15" max="15" width="9.6640625" bestFit="1" customWidth="1"/>
    <col min="16" max="16" width="9" bestFit="1" customWidth="1"/>
    <col min="17" max="17" width="6.6640625" bestFit="1" customWidth="1"/>
    <col min="18" max="23" width="9.1640625" bestFit="1" customWidth="1"/>
  </cols>
  <sheetData>
    <row r="1" spans="2:19" x14ac:dyDescent="0.2">
      <c r="B1" s="23"/>
      <c r="C1" s="23"/>
      <c r="D1" s="8"/>
      <c r="E1" s="8"/>
      <c r="F1" s="9"/>
      <c r="G1" s="2"/>
      <c r="H1" s="148"/>
      <c r="I1" s="14"/>
      <c r="J1" s="14"/>
      <c r="K1" s="14"/>
      <c r="L1" s="1"/>
      <c r="M1" s="42"/>
      <c r="N1" s="42"/>
      <c r="O1" s="42"/>
      <c r="P1" s="42"/>
    </row>
    <row r="2" spans="2:19" ht="26" x14ac:dyDescent="0.2">
      <c r="B2" s="158" t="str">
        <f>'CAP TABLE'!B2</f>
        <v>CAP TABLE                 NEW WAVE ENERGY</v>
      </c>
      <c r="C2" s="61"/>
      <c r="D2" s="22"/>
      <c r="E2" s="121"/>
      <c r="F2"/>
      <c r="G2" s="2"/>
      <c r="H2"/>
      <c r="I2" s="121"/>
      <c r="K2" s="1"/>
      <c r="L2" s="1"/>
      <c r="N2" s="132"/>
      <c r="P2" s="52"/>
      <c r="R2" s="175"/>
      <c r="S2" s="175"/>
    </row>
    <row r="3" spans="2:19" ht="26" x14ac:dyDescent="0.2">
      <c r="B3" s="158"/>
      <c r="C3" s="61"/>
      <c r="D3"/>
      <c r="E3"/>
      <c r="F3" s="122"/>
      <c r="G3" s="123"/>
      <c r="H3" t="str">
        <f>'CAP TABLE'!N3</f>
        <v>Pre-Money</v>
      </c>
      <c r="I3" s="124">
        <f>'CAP TABLE'!O3</f>
        <v>2500000</v>
      </c>
      <c r="K3" s="1"/>
      <c r="L3" s="1"/>
      <c r="M3" t="str">
        <f>'CAP TABLE'!AC3</f>
        <v>Pre-Money</v>
      </c>
      <c r="N3" s="124">
        <f>'CAP TABLE'!AD3</f>
        <v>15000000</v>
      </c>
      <c r="O3" s="51"/>
      <c r="R3" s="176"/>
      <c r="S3" s="176"/>
    </row>
    <row r="4" spans="2:19" ht="26" x14ac:dyDescent="0.2">
      <c r="B4" s="158"/>
      <c r="C4" s="61"/>
      <c r="D4"/>
      <c r="E4"/>
      <c r="F4" s="122"/>
      <c r="G4"/>
      <c r="H4" t="str">
        <f>'CAP TABLE'!N5</f>
        <v>Investment</v>
      </c>
      <c r="I4" s="125">
        <f>'CAP TABLE'!O5</f>
        <v>1500000</v>
      </c>
      <c r="K4" s="1"/>
      <c r="L4" s="1"/>
      <c r="M4" t="str">
        <f>'CAP TABLE'!AC5</f>
        <v>Investment</v>
      </c>
      <c r="N4" s="125">
        <f>'CAP TABLE'!AD5</f>
        <v>8000000</v>
      </c>
      <c r="O4" s="51"/>
    </row>
    <row r="5" spans="2:19" x14ac:dyDescent="0.2">
      <c r="B5" s="4"/>
      <c r="C5" s="24"/>
      <c r="D5"/>
      <c r="E5"/>
      <c r="F5"/>
      <c r="G5"/>
      <c r="H5" t="str">
        <f>'CAP TABLE'!N6</f>
        <v>Post-Money</v>
      </c>
      <c r="I5" s="125">
        <f>'CAP TABLE'!O6</f>
        <v>4000000</v>
      </c>
      <c r="K5" s="1"/>
      <c r="L5" s="1"/>
      <c r="M5" t="str">
        <f>'CAP TABLE'!AC6</f>
        <v>Post-Money</v>
      </c>
      <c r="N5" s="125">
        <f>'CAP TABLE'!AD6</f>
        <v>23000000</v>
      </c>
      <c r="R5" s="175"/>
      <c r="S5" s="175"/>
    </row>
    <row r="6" spans="2:19" ht="15.75" customHeight="1" x14ac:dyDescent="0.2">
      <c r="B6" s="4"/>
      <c r="C6" s="4"/>
      <c r="D6" s="4"/>
      <c r="E6" s="4"/>
      <c r="F6" s="4"/>
      <c r="G6" s="4"/>
      <c r="H6" s="94" t="s">
        <v>54</v>
      </c>
      <c r="I6" s="126">
        <f>'CAP TABLE'!Q3</f>
        <v>2.5</v>
      </c>
      <c r="K6" s="1"/>
      <c r="L6" s="1"/>
      <c r="M6" t="str">
        <f>H6</f>
        <v>Share Price</v>
      </c>
      <c r="N6" s="126">
        <f ca="1">'CAP TABLE'!AF3</f>
        <v>8.44</v>
      </c>
      <c r="R6" s="177"/>
      <c r="S6" s="177"/>
    </row>
    <row r="7" spans="2:19" x14ac:dyDescent="0.2">
      <c r="B7" s="4"/>
      <c r="C7" s="4"/>
      <c r="D7" s="4"/>
      <c r="E7" s="4"/>
      <c r="F7" s="4"/>
      <c r="G7" s="4"/>
      <c r="H7"/>
      <c r="K7" s="1"/>
      <c r="L7" s="1"/>
      <c r="N7" s="133"/>
      <c r="O7" s="128"/>
      <c r="P7" s="128"/>
    </row>
    <row r="8" spans="2:19" x14ac:dyDescent="0.2">
      <c r="B8" s="4"/>
      <c r="C8" s="4"/>
      <c r="D8" s="4"/>
      <c r="E8" s="4"/>
      <c r="F8" s="4"/>
      <c r="G8" s="4"/>
      <c r="I8" s="1"/>
      <c r="J8" s="1"/>
      <c r="K8" s="1"/>
      <c r="L8" s="1"/>
      <c r="M8" s="134"/>
      <c r="N8" s="135"/>
      <c r="O8" s="94"/>
    </row>
    <row r="9" spans="2:19" x14ac:dyDescent="0.2">
      <c r="B9" s="4"/>
      <c r="C9" s="4"/>
      <c r="D9" s="4"/>
      <c r="E9" s="4"/>
      <c r="F9" s="4"/>
      <c r="G9" s="4"/>
      <c r="I9" s="1"/>
      <c r="J9" s="1"/>
      <c r="K9" s="1"/>
      <c r="L9" s="1"/>
      <c r="M9" s="134"/>
      <c r="N9" s="136"/>
    </row>
    <row r="10" spans="2:19" x14ac:dyDescent="0.2">
      <c r="B10" s="4"/>
      <c r="C10" s="4"/>
      <c r="D10" s="4"/>
      <c r="E10" s="4"/>
      <c r="F10" s="4"/>
      <c r="G10" s="4"/>
      <c r="I10" s="1"/>
      <c r="J10" s="1"/>
      <c r="K10" s="1"/>
      <c r="L10" s="1"/>
      <c r="N10" s="127"/>
    </row>
    <row r="11" spans="2:19" x14ac:dyDescent="0.2">
      <c r="I11" s="1"/>
      <c r="J11" s="1"/>
      <c r="K11" s="1"/>
      <c r="L11" s="1"/>
    </row>
    <row r="12" spans="2:19" x14ac:dyDescent="0.2">
      <c r="B12" s="35"/>
      <c r="C12" s="33"/>
      <c r="D12" s="120" t="str">
        <f>'CAP TABLE'!E12</f>
        <v>INCORPORATION</v>
      </c>
      <c r="E12" s="9"/>
      <c r="F12" s="10"/>
      <c r="G12"/>
      <c r="H12" s="14" t="str">
        <f>'CAP TABLE'!N12</f>
        <v>SEED ROUND</v>
      </c>
      <c r="I12" s="15"/>
      <c r="J12" s="15"/>
      <c r="K12" s="15"/>
      <c r="M12" s="129" t="str">
        <f>'CAP TABLE'!AC12</f>
        <v>SERIES A ROUND</v>
      </c>
      <c r="N12" s="130"/>
      <c r="O12" s="130"/>
      <c r="P12" s="131"/>
    </row>
    <row r="13" spans="2:19" x14ac:dyDescent="0.2">
      <c r="B13" s="36" t="s">
        <v>22</v>
      </c>
      <c r="C13" s="34"/>
      <c r="D13" s="11" t="s">
        <v>55</v>
      </c>
      <c r="E13" s="11" t="s">
        <v>25</v>
      </c>
      <c r="F13" s="11" t="s">
        <v>26</v>
      </c>
      <c r="G13"/>
      <c r="H13" s="16" t="str">
        <f>'CAP TABLE'!T13</f>
        <v>Total Shares</v>
      </c>
      <c r="I13" s="16" t="str">
        <f>'CAP TABLE'!U13</f>
        <v>% Pref.</v>
      </c>
      <c r="J13" s="16" t="str">
        <f>'CAP TABLE'!V13</f>
        <v>% Holding</v>
      </c>
      <c r="K13" s="16" t="str">
        <f>'CAP TABLE'!W13</f>
        <v>% FD</v>
      </c>
      <c r="M13" s="46" t="str">
        <f>'CAP TABLE'!AJ13</f>
        <v>Total Shares</v>
      </c>
      <c r="N13" s="46" t="str">
        <f>'CAP TABLE'!AK13</f>
        <v>% Pref.</v>
      </c>
      <c r="O13" s="46" t="str">
        <f>'CAP TABLE'!AL13</f>
        <v>% Holding</v>
      </c>
      <c r="P13" s="47" t="str">
        <f>'CAP TABLE'!AM13</f>
        <v>% FD</v>
      </c>
    </row>
    <row r="14" spans="2:19" x14ac:dyDescent="0.2">
      <c r="B14" t="str">
        <f>'CAP TABLE'!B14</f>
        <v>Bill Pear</v>
      </c>
      <c r="C14"/>
      <c r="D14" s="7">
        <f>'CAP TABLE'!E14</f>
        <v>600000</v>
      </c>
      <c r="E14" s="145">
        <f>'CAP TABLE'!G14</f>
        <v>0.6</v>
      </c>
      <c r="F14" s="145">
        <f>'CAP TABLE'!H14</f>
        <v>0.6</v>
      </c>
      <c r="G14"/>
      <c r="H14" s="7">
        <f>'CAP TABLE'!T14</f>
        <v>600000</v>
      </c>
      <c r="I14" s="140">
        <f>'CAP TABLE'!U14</f>
        <v>0</v>
      </c>
      <c r="J14" s="87">
        <f>'CAP TABLE'!V14</f>
        <v>0.375</v>
      </c>
      <c r="K14" s="87">
        <f ca="1">'CAP TABLE'!W14</f>
        <v>0.33745781777277839</v>
      </c>
      <c r="M14" s="7">
        <f ca="1">'CAP TABLE'!AJ14</f>
        <v>600000</v>
      </c>
      <c r="N14" s="140">
        <f ca="1">'CAP TABLE'!AK14</f>
        <v>0</v>
      </c>
      <c r="O14" s="87">
        <f ca="1">'CAP TABLE'!AL14</f>
        <v>0.23549109902518459</v>
      </c>
      <c r="P14" s="87">
        <f ca="1">'CAP TABLE'!AM14</f>
        <v>0.2119524957936261</v>
      </c>
    </row>
    <row r="15" spans="2:19" x14ac:dyDescent="0.2">
      <c r="B15" t="str">
        <f>'CAP TABLE'!B15</f>
        <v>Peter Singh</v>
      </c>
      <c r="C15"/>
      <c r="D15" s="7">
        <f>'CAP TABLE'!E15</f>
        <v>400000</v>
      </c>
      <c r="E15" s="145">
        <f>'CAP TABLE'!G15</f>
        <v>0.4</v>
      </c>
      <c r="F15" s="145">
        <f>'CAP TABLE'!H15</f>
        <v>0.4</v>
      </c>
      <c r="G15"/>
      <c r="H15" s="7">
        <f>'CAP TABLE'!T15</f>
        <v>400000</v>
      </c>
      <c r="I15" s="140">
        <f>'CAP TABLE'!U15</f>
        <v>0</v>
      </c>
      <c r="J15" s="87">
        <f>'CAP TABLE'!V15</f>
        <v>0.25</v>
      </c>
      <c r="K15" s="87">
        <f ca="1">'CAP TABLE'!W15</f>
        <v>0.2249718785151856</v>
      </c>
      <c r="M15" s="7">
        <f ca="1">'CAP TABLE'!AJ15</f>
        <v>400000</v>
      </c>
      <c r="N15" s="140">
        <f ca="1">'CAP TABLE'!AK15</f>
        <v>0</v>
      </c>
      <c r="O15" s="87">
        <f ca="1">'CAP TABLE'!AL15</f>
        <v>0.15699406601678972</v>
      </c>
      <c r="P15" s="87">
        <f ca="1">'CAP TABLE'!AM15</f>
        <v>0.14130166386241741</v>
      </c>
    </row>
    <row r="16" spans="2:19" x14ac:dyDescent="0.2">
      <c r="B16" t="str">
        <f>'CAP TABLE'!B16</f>
        <v>VC 1</v>
      </c>
      <c r="C16"/>
      <c r="D16" s="7">
        <f>'CAP TABLE'!E16</f>
        <v>0</v>
      </c>
      <c r="E16" s="145">
        <f>'CAP TABLE'!G16</f>
        <v>0</v>
      </c>
      <c r="F16" s="145">
        <f>'CAP TABLE'!H16</f>
        <v>0</v>
      </c>
      <c r="G16"/>
      <c r="H16" s="7">
        <f>'CAP TABLE'!T16</f>
        <v>600000</v>
      </c>
      <c r="I16" s="140">
        <f>'CAP TABLE'!U16</f>
        <v>0</v>
      </c>
      <c r="J16" s="87">
        <f>'CAP TABLE'!V16</f>
        <v>0.375</v>
      </c>
      <c r="K16" s="87">
        <f ca="1">'CAP TABLE'!W16</f>
        <v>0.33745781777277839</v>
      </c>
      <c r="M16" s="7">
        <f ca="1">'CAP TABLE'!AJ16</f>
        <v>836967</v>
      </c>
      <c r="N16" s="140">
        <f ca="1">'CAP TABLE'!AK16</f>
        <v>0.25000026375008311</v>
      </c>
      <c r="O16" s="87">
        <f ca="1">'CAP TABLE'!AL16</f>
        <v>0.32849713112968615</v>
      </c>
      <c r="P16" s="87">
        <f ca="1">'CAP TABLE'!AM16</f>
        <v>0.29566207424483976</v>
      </c>
    </row>
    <row r="17" spans="2:16" x14ac:dyDescent="0.2">
      <c r="B17" t="str">
        <f>'CAP TABLE'!B17</f>
        <v>VC 2</v>
      </c>
      <c r="C17"/>
      <c r="D17" s="7">
        <f>'CAP TABLE'!E17</f>
        <v>0</v>
      </c>
      <c r="E17" s="145">
        <f>'CAP TABLE'!G17</f>
        <v>0</v>
      </c>
      <c r="F17" s="145">
        <f>'CAP TABLE'!H17</f>
        <v>0</v>
      </c>
      <c r="G17"/>
      <c r="H17" s="7">
        <f>'CAP TABLE'!T17</f>
        <v>0</v>
      </c>
      <c r="I17" s="140">
        <f>'CAP TABLE'!U17</f>
        <v>0</v>
      </c>
      <c r="J17" s="87">
        <f>'CAP TABLE'!V17</f>
        <v>0</v>
      </c>
      <c r="K17" s="87">
        <f ca="1">'CAP TABLE'!W17</f>
        <v>0</v>
      </c>
      <c r="M17" s="7">
        <f ca="1">'CAP TABLE'!AJ17</f>
        <v>710900</v>
      </c>
      <c r="N17" s="140">
        <f ca="1">'CAP TABLE'!AK17</f>
        <v>0.74999973624991689</v>
      </c>
      <c r="O17" s="87">
        <f ca="1">'CAP TABLE'!AL17</f>
        <v>0.27901770382833957</v>
      </c>
      <c r="P17" s="87">
        <f ca="1">'CAP TABLE'!AM17</f>
        <v>0.2511283820994813</v>
      </c>
    </row>
    <row r="18" spans="2:16" x14ac:dyDescent="0.2">
      <c r="B18"/>
      <c r="C18"/>
      <c r="D18" s="7">
        <f>'CAP TABLE'!E18</f>
        <v>0</v>
      </c>
      <c r="E18" s="145">
        <f>'CAP TABLE'!G18</f>
        <v>0</v>
      </c>
      <c r="F18" s="145">
        <f>'CAP TABLE'!H18</f>
        <v>0</v>
      </c>
      <c r="G18"/>
      <c r="H18" s="7">
        <f>'CAP TABLE'!T18</f>
        <v>0</v>
      </c>
      <c r="I18" s="140">
        <f>'CAP TABLE'!U18</f>
        <v>0</v>
      </c>
      <c r="J18" s="87">
        <f>'CAP TABLE'!V18</f>
        <v>0</v>
      </c>
      <c r="K18" s="87">
        <f ca="1">'CAP TABLE'!W18</f>
        <v>0</v>
      </c>
      <c r="M18" s="7">
        <f ca="1">'CAP TABLE'!AJ18</f>
        <v>0</v>
      </c>
      <c r="N18" s="140">
        <f ca="1">'CAP TABLE'!AK18</f>
        <v>0</v>
      </c>
      <c r="O18" s="87">
        <f ca="1">'CAP TABLE'!AL18</f>
        <v>0</v>
      </c>
      <c r="P18" s="87">
        <f ca="1">'CAP TABLE'!AM18</f>
        <v>0</v>
      </c>
    </row>
    <row r="19" spans="2:16" x14ac:dyDescent="0.2">
      <c r="B19"/>
      <c r="C19"/>
      <c r="D19" s="7">
        <f>'CAP TABLE'!E19</f>
        <v>0</v>
      </c>
      <c r="E19" s="145">
        <f>'CAP TABLE'!G19</f>
        <v>0</v>
      </c>
      <c r="F19" s="145">
        <f>'CAP TABLE'!H19</f>
        <v>0</v>
      </c>
      <c r="G19"/>
      <c r="H19" s="7">
        <f>'CAP TABLE'!T19</f>
        <v>0</v>
      </c>
      <c r="I19" s="140">
        <f>'CAP TABLE'!U19</f>
        <v>0</v>
      </c>
      <c r="J19" s="87">
        <f>'CAP TABLE'!V19</f>
        <v>0</v>
      </c>
      <c r="K19" s="87">
        <f ca="1">'CAP TABLE'!W19</f>
        <v>0</v>
      </c>
      <c r="M19" s="7">
        <f ca="1">'CAP TABLE'!AJ19</f>
        <v>0</v>
      </c>
      <c r="N19" s="140">
        <f ca="1">'CAP TABLE'!AK19</f>
        <v>0</v>
      </c>
      <c r="O19" s="87">
        <f ca="1">'CAP TABLE'!AL19</f>
        <v>0</v>
      </c>
      <c r="P19" s="87">
        <f ca="1">'CAP TABLE'!AM19</f>
        <v>0</v>
      </c>
    </row>
    <row r="20" spans="2:16" x14ac:dyDescent="0.2">
      <c r="B20"/>
      <c r="C20"/>
      <c r="D20" s="7">
        <f>'CAP TABLE'!E20</f>
        <v>0</v>
      </c>
      <c r="E20" s="145">
        <f>'CAP TABLE'!G20</f>
        <v>0</v>
      </c>
      <c r="F20" s="145">
        <f>'CAP TABLE'!H20</f>
        <v>0</v>
      </c>
      <c r="G20"/>
      <c r="H20" s="7">
        <f>'CAP TABLE'!T20</f>
        <v>0</v>
      </c>
      <c r="I20" s="140">
        <f>'CAP TABLE'!U20</f>
        <v>0</v>
      </c>
      <c r="J20" s="87">
        <f>'CAP TABLE'!V20</f>
        <v>0</v>
      </c>
      <c r="K20" s="87">
        <f ca="1">'CAP TABLE'!W20</f>
        <v>0</v>
      </c>
      <c r="M20" s="7">
        <f ca="1">'CAP TABLE'!AJ20</f>
        <v>0</v>
      </c>
      <c r="N20" s="140">
        <f ca="1">'CAP TABLE'!AK20</f>
        <v>0</v>
      </c>
      <c r="O20" s="87">
        <f ca="1">'CAP TABLE'!AL20</f>
        <v>0</v>
      </c>
      <c r="P20" s="87">
        <f ca="1">'CAP TABLE'!AM20</f>
        <v>0</v>
      </c>
    </row>
    <row r="21" spans="2:16" x14ac:dyDescent="0.2">
      <c r="B21"/>
      <c r="C21"/>
      <c r="D21" s="7">
        <f>'CAP TABLE'!E21</f>
        <v>0</v>
      </c>
      <c r="E21" s="145">
        <f>'CAP TABLE'!G21</f>
        <v>0</v>
      </c>
      <c r="F21" s="145">
        <f>'CAP TABLE'!H21</f>
        <v>0</v>
      </c>
      <c r="G21"/>
      <c r="H21" s="7">
        <f>'CAP TABLE'!T21</f>
        <v>0</v>
      </c>
      <c r="I21" s="140">
        <f>'CAP TABLE'!U21</f>
        <v>0</v>
      </c>
      <c r="J21" s="87">
        <f>'CAP TABLE'!V21</f>
        <v>0</v>
      </c>
      <c r="K21" s="87">
        <f ca="1">'CAP TABLE'!W21</f>
        <v>0</v>
      </c>
      <c r="M21" s="7">
        <f ca="1">'CAP TABLE'!AJ21</f>
        <v>0</v>
      </c>
      <c r="N21" s="140">
        <f ca="1">'CAP TABLE'!AK21</f>
        <v>0</v>
      </c>
      <c r="O21" s="87">
        <f ca="1">'CAP TABLE'!AL21</f>
        <v>0</v>
      </c>
      <c r="P21" s="87">
        <f ca="1">'CAP TABLE'!AM21</f>
        <v>0</v>
      </c>
    </row>
    <row r="22" spans="2:16" ht="17" thickBot="1" x14ac:dyDescent="0.25">
      <c r="B22"/>
      <c r="C22"/>
      <c r="D22" s="7">
        <f>'CAP TABLE'!E22</f>
        <v>0</v>
      </c>
      <c r="E22" s="145">
        <f>'CAP TABLE'!G22</f>
        <v>0</v>
      </c>
      <c r="F22" s="145">
        <f>'CAP TABLE'!H22</f>
        <v>0</v>
      </c>
      <c r="G22"/>
      <c r="H22" s="7">
        <f>'CAP TABLE'!T22</f>
        <v>0</v>
      </c>
      <c r="I22" s="140">
        <f>'CAP TABLE'!U22</f>
        <v>0</v>
      </c>
      <c r="J22" s="87">
        <f>'CAP TABLE'!V22</f>
        <v>0</v>
      </c>
      <c r="K22" s="87">
        <f ca="1">'CAP TABLE'!W22</f>
        <v>0</v>
      </c>
      <c r="M22" s="7">
        <f ca="1">'CAP TABLE'!AJ22</f>
        <v>0</v>
      </c>
      <c r="N22" s="140">
        <f ca="1">'CAP TABLE'!AK22</f>
        <v>0</v>
      </c>
      <c r="O22" s="87">
        <f ca="1">'CAP TABLE'!AL22</f>
        <v>0</v>
      </c>
      <c r="P22" s="87">
        <f ca="1">'CAP TABLE'!AM22</f>
        <v>0</v>
      </c>
    </row>
    <row r="23" spans="2:16" ht="18" thickTop="1" thickBot="1" x14ac:dyDescent="0.25">
      <c r="B23" s="20" t="s">
        <v>38</v>
      </c>
      <c r="C23" s="20"/>
      <c r="D23" s="21">
        <f>'CAP TABLE'!E23</f>
        <v>1000000</v>
      </c>
      <c r="E23" s="70">
        <f>'CAP TABLE'!G23</f>
        <v>1</v>
      </c>
      <c r="F23" s="70">
        <f>'CAP TABLE'!H23</f>
        <v>1</v>
      </c>
      <c r="G23"/>
      <c r="H23" s="21">
        <f>'CAP TABLE'!T23</f>
        <v>1600000</v>
      </c>
      <c r="I23" s="70">
        <f>'CAP TABLE'!U23</f>
        <v>0</v>
      </c>
      <c r="J23" s="70">
        <f>'CAP TABLE'!V23</f>
        <v>1</v>
      </c>
      <c r="K23" s="70">
        <f ca="1">'CAP TABLE'!W23</f>
        <v>0.89988751406074241</v>
      </c>
      <c r="M23" s="21">
        <f ca="1">'CAP TABLE'!AJ23</f>
        <v>2547867</v>
      </c>
      <c r="N23" s="70">
        <f ca="1">'CAP TABLE'!AK23</f>
        <v>1</v>
      </c>
      <c r="O23" s="70">
        <f ca="1">'CAP TABLE'!AL23</f>
        <v>1</v>
      </c>
      <c r="P23" s="142">
        <f ca="1">'CAP TABLE'!AM23</f>
        <v>0.90004461600036456</v>
      </c>
    </row>
    <row r="24" spans="2:16" ht="17" thickTop="1" x14ac:dyDescent="0.2">
      <c r="B24" s="2"/>
      <c r="C24" s="2"/>
      <c r="D24" s="84"/>
      <c r="E24" s="87"/>
      <c r="F24" s="87"/>
      <c r="G24"/>
      <c r="H24" s="84">
        <f>'CAP TABLE'!T24</f>
        <v>0</v>
      </c>
      <c r="I24" s="87">
        <f>'CAP TABLE'!U24</f>
        <v>0</v>
      </c>
      <c r="J24" s="87">
        <f>'CAP TABLE'!V24</f>
        <v>0</v>
      </c>
      <c r="K24" s="87">
        <f>'CAP TABLE'!W24</f>
        <v>0</v>
      </c>
      <c r="M24" s="84">
        <f>'CAP TABLE'!AJ24</f>
        <v>0</v>
      </c>
      <c r="N24" s="87">
        <f>'CAP TABLE'!AK24</f>
        <v>0</v>
      </c>
      <c r="O24" s="87">
        <f>'CAP TABLE'!AL24</f>
        <v>0</v>
      </c>
      <c r="P24" s="143">
        <f>'CAP TABLE'!AM24</f>
        <v>0</v>
      </c>
    </row>
    <row r="25" spans="2:16" x14ac:dyDescent="0.2">
      <c r="B25" t="str">
        <f>'CAP TABLE'!B25</f>
        <v>Option Pool</v>
      </c>
      <c r="C25"/>
      <c r="D25" s="7">
        <f>'CAP TABLE'!E25</f>
        <v>0</v>
      </c>
      <c r="E25" s="138">
        <f>'CAP TABLE'!G25</f>
        <v>0</v>
      </c>
      <c r="F25" s="138">
        <f>'CAP TABLE'!H25</f>
        <v>0</v>
      </c>
      <c r="G25"/>
      <c r="H25" s="7">
        <f ca="1">'CAP TABLE'!T25</f>
        <v>178000</v>
      </c>
      <c r="I25" s="140">
        <f>'CAP TABLE'!U25</f>
        <v>0</v>
      </c>
      <c r="J25" s="87">
        <f>'CAP TABLE'!V25</f>
        <v>0</v>
      </c>
      <c r="K25" s="138">
        <f ca="1">'CAP TABLE'!W25</f>
        <v>0.10011248593925759</v>
      </c>
      <c r="M25" s="7">
        <f ca="1">'CAP TABLE'!AJ25</f>
        <v>282956</v>
      </c>
      <c r="N25" s="140">
        <f>'CAP TABLE'!AK25</f>
        <v>0</v>
      </c>
      <c r="O25" s="87">
        <f>'CAP TABLE'!AL25</f>
        <v>0</v>
      </c>
      <c r="P25" s="141">
        <f ca="1">'CAP TABLE'!AM25</f>
        <v>9.9955383999635439E-2</v>
      </c>
    </row>
    <row r="26" spans="2:16" x14ac:dyDescent="0.2">
      <c r="E26" s="146"/>
      <c r="F26" s="146"/>
      <c r="G26"/>
      <c r="H26" s="7">
        <f>'CAP TABLE'!T26</f>
        <v>0</v>
      </c>
      <c r="I26" s="140">
        <f>'CAP TABLE'!U26</f>
        <v>0</v>
      </c>
      <c r="J26" s="87">
        <f>'CAP TABLE'!V26</f>
        <v>0</v>
      </c>
      <c r="K26" s="138">
        <f>'CAP TABLE'!W26</f>
        <v>0</v>
      </c>
      <c r="M26" s="7">
        <f>'CAP TABLE'!AJ26</f>
        <v>0</v>
      </c>
      <c r="N26" s="140">
        <f>'CAP TABLE'!AK26</f>
        <v>0</v>
      </c>
      <c r="O26" s="87">
        <f>'CAP TABLE'!AL26</f>
        <v>0</v>
      </c>
      <c r="P26" s="141">
        <f>'CAP TABLE'!AM26</f>
        <v>0</v>
      </c>
    </row>
    <row r="27" spans="2:16" ht="17" thickBot="1" x14ac:dyDescent="0.25">
      <c r="B27" s="68" t="s">
        <v>39</v>
      </c>
      <c r="C27" s="68"/>
      <c r="D27" s="89">
        <f>'CAP TABLE'!E27</f>
        <v>0</v>
      </c>
      <c r="E27" s="139">
        <f>'CAP TABLE'!G27</f>
        <v>0</v>
      </c>
      <c r="F27" s="147">
        <f>'CAP TABLE'!H27</f>
        <v>1</v>
      </c>
      <c r="G27"/>
      <c r="H27" s="88">
        <f ca="1">'CAP TABLE'!T27</f>
        <v>1778000</v>
      </c>
      <c r="I27" s="139">
        <f>'CAP TABLE'!U27</f>
        <v>0</v>
      </c>
      <c r="J27" s="139">
        <f>'CAP TABLE'!V27</f>
        <v>0</v>
      </c>
      <c r="K27" s="139">
        <f ca="1">'CAP TABLE'!W27</f>
        <v>1</v>
      </c>
      <c r="M27" s="88">
        <f ca="1">'CAP TABLE'!AJ27</f>
        <v>2830823</v>
      </c>
      <c r="N27" s="139">
        <f>'CAP TABLE'!AK27</f>
        <v>0</v>
      </c>
      <c r="O27" s="139">
        <f>'CAP TABLE'!AL27</f>
        <v>0</v>
      </c>
      <c r="P27" s="144">
        <f ca="1">'CAP TABLE'!AM27</f>
        <v>1</v>
      </c>
    </row>
    <row r="28" spans="2:16" ht="17" thickTop="1" x14ac:dyDescent="0.2"/>
  </sheetData>
  <mergeCells count="5">
    <mergeCell ref="R2:S2"/>
    <mergeCell ref="R3:S3"/>
    <mergeCell ref="R5:S5"/>
    <mergeCell ref="R6:S6"/>
    <mergeCell ref="B2:B4"/>
  </mergeCells>
  <conditionalFormatting sqref="I6 N6">
    <cfRule type="expression" dxfId="0" priority="30">
      <formula>I6&lt;&gt;I$6</formula>
    </cfRule>
  </conditionalFormatting>
  <dataValidations count="2">
    <dataValidation type="list" allowBlank="1" showInputMessage="1" showErrorMessage="1" sqref="R6 N9" xr:uid="{E741E886-F531-4DC0-A5F0-46A3013FB811}">
      <formula1>"YES,NO"</formula1>
    </dataValidation>
    <dataValidation type="list" allowBlank="1" showInputMessage="1" showErrorMessage="1" sqref="R3" xr:uid="{B8D76DC6-40BF-42C5-9040-1BAFACDD5C53}">
      <formula1>"Pre,Post"</formula1>
    </dataValidation>
  </dataValidations>
  <pageMargins left="0.7" right="0.7" top="0.75" bottom="0.75" header="0.3" footer="0.3"/>
  <ignoredErrors>
    <ignoredError sqref="I3 N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B25C8174D0A41953140E455AF1CA2" ma:contentTypeVersion="13" ma:contentTypeDescription="Een nieuw document maken." ma:contentTypeScope="" ma:versionID="d8d190124266deabbed874d721a9e472">
  <xsd:schema xmlns:xsd="http://www.w3.org/2001/XMLSchema" xmlns:xs="http://www.w3.org/2001/XMLSchema" xmlns:p="http://schemas.microsoft.com/office/2006/metadata/properties" xmlns:ns2="86f5db42-2685-4634-8018-92878981391b" xmlns:ns3="20365f9b-d8b0-4e43-8c46-2635c0e22206" targetNamespace="http://schemas.microsoft.com/office/2006/metadata/properties" ma:root="true" ma:fieldsID="9a5ca66cc47977609178c5b35430ffb8" ns2:_="" ns3:_="">
    <xsd:import namespace="86f5db42-2685-4634-8018-92878981391b"/>
    <xsd:import namespace="20365f9b-d8b0-4e43-8c46-2635c0e2220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5db42-2685-4634-8018-92878981391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365f9b-d8b0-4e43-8c46-2635c0e22206"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BD88A-61C8-4662-AFB6-AA1719DAC6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95FB63F-1F15-4108-B56C-066FA17EF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5db42-2685-4634-8018-92878981391b"/>
    <ds:schemaRef ds:uri="20365f9b-d8b0-4e43-8c46-2635c0e22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914A93-BDFB-4EF1-8F46-FE29146F3794}">
  <ds:schemaRefs>
    <ds:schemaRef ds:uri="http://schemas.microsoft.com/sharepoint/v3/contenttype/forms"/>
  </ds:schemaRefs>
</ds:datastoreItem>
</file>

<file path=docMetadata/LabelInfo.xml><?xml version="1.0" encoding="utf-8"?>
<clbl:labelList xmlns:clbl="http://schemas.microsoft.com/office/2020/mipLabelMetadata">
  <clbl:label id="{15adb588-40dd-4898-95b3-763f634862a6}" enabled="0" method="" siteId="{15adb588-40dd-4898-95b3-763f634862a6}" removed="1"/>
  <clbl:label id="{fad32ffe-9952-4590-9b6a-be1674321479}" enabled="0" method="" siteId="{fad32ffe-9952-4590-9b6a-be1674321479}" removed="1"/>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CAP TABLE</vt:lpstr>
      <vt:lpstr>SUMMARY</vt:lpstr>
    </vt:vector>
  </TitlesOfParts>
  <Manager/>
  <Company>Stichting Capital Waters</Company>
  <LinksUpToDate>false</LinksUpToDate>
  <SharedDoc>false</SharedDoc>
  <HyperlinkBase>www.capitalwaters.nl</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Waters Cap Table Template</dc:title>
  <dc:subject/>
  <dc:creator/>
  <cp:keywords/>
  <dc:description/>
  <cp:lastModifiedBy>Microsoft Office User</cp:lastModifiedBy>
  <cp:revision/>
  <dcterms:created xsi:type="dcterms:W3CDTF">2017-07-18T09:58:34Z</dcterms:created>
  <dcterms:modified xsi:type="dcterms:W3CDTF">2025-09-13T13:16:14Z</dcterms:modified>
  <cp:category/>
  <cp:contentStatus>STANDARD v.01_02-2025</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0x01010060CB25C8174D0A41953140E455AF1CA2</vt:lpwstr>
  </property>
  <property fmtid="{D5CDD505-2E9C-101B-9397-08002B2CF9AE}" pid="3" name="AuthorIds_UIVersion_2560">
    <vt:lpwstr>17</vt:lpwstr>
  </property>
</Properties>
</file>